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采购清单" sheetId="1" r:id="rId1"/>
  </sheets>
  <definedNames>
    <definedName name="_xlnm._FilterDatabase" localSheetId="0" hidden="1">采购清单!$A$2:$N$108</definedName>
    <definedName name="_xlnm.Print_Titles" localSheetId="0">采购清单!$1:$3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4" name="ID_120D76189F324A6A8FB12E68B6399CD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37145" y="2705100"/>
          <a:ext cx="1820545" cy="13754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" name="ID_2051473C92AB416C833692296280193E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61225" y="2823845"/>
          <a:ext cx="7524750" cy="42672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" name="ID_DC066ECF42414FC7B8A4F7044D7DDEF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009640" y="4657090"/>
          <a:ext cx="1143000" cy="9556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" name="ID_6ACFEB85BC9D4A55990202E92485C18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181215" y="4412615"/>
          <a:ext cx="5695950" cy="33813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" name="ID_4D894558FD294A929BDEB74696A92F3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873750" y="4371340"/>
          <a:ext cx="3324225" cy="2990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" name="ID_90AF7F787CA14EFBA1C086260B4014B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195185" y="4398645"/>
          <a:ext cx="7200900" cy="42100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" name="ID_44C7343B34304191A048AE97A337730E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064250" y="7827645"/>
          <a:ext cx="2661920" cy="23272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" name="ID_A0A42FD5BD724BBEBC2F7991E26BAE06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208520" y="7924165"/>
          <a:ext cx="5657850" cy="2562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" name="ID_F38BFB84E1484E40B87DC19D2E1657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914390" y="9747885"/>
          <a:ext cx="2407920" cy="20110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" name="ID_B2BE4A6CC62D420F9A8E81D8BEF52096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235825" y="9558020"/>
          <a:ext cx="5734050" cy="33813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" name="ID_1B42D519849B42F69023FCBB8A349D4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221855" y="11233150"/>
          <a:ext cx="5705475" cy="33051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" name="ID_F58E1854248A4A779D17C17CFADB698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5833110" y="12961620"/>
          <a:ext cx="1664970" cy="20834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" name="ID_0AB35A6D8CBA49FEB6DDF13C50B3D4F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805170" y="14527530"/>
          <a:ext cx="2100580" cy="29597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" name="ID_03A870BB96274969BBCF5159B3C435CD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5845810" y="16324580"/>
          <a:ext cx="1710690" cy="24752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" name="ID_D746515BE37548999DCCBA9E3924D691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5927725" y="18053050"/>
          <a:ext cx="1841500" cy="255206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" name="ID_C8FA49A8DBA24873A4CF05A81BC9AD88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7290435" y="13111480"/>
          <a:ext cx="5610225" cy="27432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0" name="ID_0F70864DAB7A4A9D92F4FAF995398B9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7208520" y="14636750"/>
          <a:ext cx="5610225" cy="25908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1" name="ID_0C8249C10FB14B8EBB04DC1C6AA24091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7099300" y="16392525"/>
          <a:ext cx="8877300" cy="44291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2" name="ID_2241C93A61714F6B9832B93138290B13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7276465" y="18027015"/>
          <a:ext cx="5629275" cy="26193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3" name="ID_2C71B8C4B3414DF69025312A3F70EA1B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5819140" y="19864705"/>
          <a:ext cx="2076450" cy="13239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4" name="ID_F7F8C6CDE03B4A79844BE512932CC710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7262495" y="19742150"/>
          <a:ext cx="5572125" cy="24574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5" name="ID_7DDC2BCD11644C4FAE42E507D2B78CC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5819775" y="21362035"/>
          <a:ext cx="4076700" cy="25812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6" name="ID_3748117ADD324EA38BE1A803B1CC8030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7195185" y="21362035"/>
          <a:ext cx="5629275" cy="25908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7" name="ID_95C6C3092E66450989396B158F5B64C0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6063615" y="23115905"/>
          <a:ext cx="1132840" cy="25946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8" name="ID_22CCFFD1E8B4457C82826D938A1A32D2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7317740" y="23213695"/>
          <a:ext cx="5029200" cy="27051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9" name="ID_B55B998CDEC844E28723FC2CA4B87205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5818505" y="24900890"/>
          <a:ext cx="1607185" cy="246951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0" name="ID_E654D48ADAEE4FF98F04CE1DB7B0AEB1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7167880" y="24765635"/>
          <a:ext cx="5038725" cy="26384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2" name="ID_C87D4612D4194CE09AE6F132347531AA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5791835" y="26562685"/>
          <a:ext cx="1762125" cy="35623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3" name="ID_D19E053ABE404DB7A1F9B2750D600BFE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7181850" y="26711910"/>
          <a:ext cx="5619750" cy="31432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4" name="ID_9A952B4E119D4CC69C6FD390FF404906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5764530" y="28264485"/>
          <a:ext cx="1386840" cy="224345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5" name="ID_91EED96AE4484D4DAADD4805C889317B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7304405" y="28319095"/>
          <a:ext cx="5724525" cy="31146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6" name="ID_94C33A0D96284164A5AC3ACD53E7EF32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5764530" y="29857065"/>
          <a:ext cx="1933575" cy="32480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7" name="ID_67C4575381494D3EB061F7E613C0D322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7181850" y="29952315"/>
          <a:ext cx="5648325" cy="30003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8" name="ID_008A39D6CF3A4F2DB21C01BB11B1914B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5846445" y="31763335"/>
          <a:ext cx="1838325" cy="24574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9" name="ID_CEA24139018849D5B26BD27FA36343A0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7140575" y="31531560"/>
          <a:ext cx="5762625" cy="31337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0" name="ID_3080D457A3B44D7E8A0EC727E8F3CEB6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5928360" y="33369885"/>
          <a:ext cx="1419225" cy="28384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1" name="ID_365E2D5DB00A479DB267528D5D733553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7235825" y="33369885"/>
          <a:ext cx="5495925" cy="35242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2" name="ID_BD3272DA57C64D91B2B857FEB0816AED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5845810" y="35112325"/>
          <a:ext cx="1180465" cy="23780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3" name="ID_D6B3EC6E508946BEB31CE9DDA103D32C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7086600" y="35275520"/>
          <a:ext cx="4200525" cy="3705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" name="ID_F9625E25715343008386C22B003B7FE9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5833110" y="36841430"/>
          <a:ext cx="2200275" cy="45529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5" name="ID_B7DF70E3DA0B45CA90BB0D87424EE4C8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7208520" y="36814125"/>
          <a:ext cx="3695700" cy="33813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6" name="ID_8241F12647424B97BCC7D89A5D0C3130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5819140" y="38421310"/>
          <a:ext cx="2238375" cy="4400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7" name="ID_9DCA1D536BE3486294293A7F9C8AE467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7167245" y="38475285"/>
          <a:ext cx="4362450" cy="30099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8" name="ID_B8B96BA0E83C4482973B68E261CED298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5778500" y="40068500"/>
          <a:ext cx="2247900" cy="44386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9" name="ID_E070819F4A024BC7BA05F10195DA8315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7208520" y="40177085"/>
          <a:ext cx="3952875" cy="33051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0" name="ID_AE993F8EF97241D3B8891D7752DC8E98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5819140" y="41783635"/>
          <a:ext cx="1876425" cy="42291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1" name="ID_5B256EF0E5554B1C82A20DDF56E34CC9"/>
        <xdr:cNvPicPr>
          <a:picLocks noChangeAspect="1"/>
        </xdr:cNvPicPr>
      </xdr:nvPicPr>
      <xdr:blipFill>
        <a:blip r:embed="rId46"/>
        <a:stretch>
          <a:fillRect/>
        </a:stretch>
      </xdr:blipFill>
      <xdr:spPr>
        <a:xfrm>
          <a:off x="7181215" y="41769665"/>
          <a:ext cx="4400550" cy="37814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" name="ID_FBFE81879AB8466BA15BB7067CDC02B9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5822315" y="43647995"/>
          <a:ext cx="3933825" cy="24765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3" name="ID_EF1968438FBC4C539338096302D3C908"/>
        <xdr:cNvPicPr>
          <a:picLocks noChangeAspect="1"/>
        </xdr:cNvPicPr>
      </xdr:nvPicPr>
      <xdr:blipFill>
        <a:blip r:embed="rId48"/>
        <a:stretch>
          <a:fillRect/>
        </a:stretch>
      </xdr:blipFill>
      <xdr:spPr>
        <a:xfrm>
          <a:off x="7426325" y="43621325"/>
          <a:ext cx="4343400" cy="35147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4" name="ID_D854970D54C84ADEB21ACE479D097BDE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6121400" y="45405040"/>
          <a:ext cx="3705225" cy="3324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5" name="ID_64A2F787316843E4AFE024A33E53C414"/>
        <xdr:cNvPicPr>
          <a:picLocks noChangeAspect="1"/>
        </xdr:cNvPicPr>
      </xdr:nvPicPr>
      <xdr:blipFill>
        <a:blip r:embed="rId50"/>
        <a:stretch>
          <a:fillRect/>
        </a:stretch>
      </xdr:blipFill>
      <xdr:spPr>
        <a:xfrm>
          <a:off x="7276465" y="45255180"/>
          <a:ext cx="4314825" cy="35623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8" name="ID_D09A8D0326914A0DB8C31BD3FD12698E"/>
        <xdr:cNvPicPr>
          <a:picLocks noChangeAspect="1"/>
        </xdr:cNvPicPr>
      </xdr:nvPicPr>
      <xdr:blipFill>
        <a:blip r:embed="rId51"/>
        <a:stretch>
          <a:fillRect/>
        </a:stretch>
      </xdr:blipFill>
      <xdr:spPr>
        <a:xfrm>
          <a:off x="5964555" y="49024540"/>
          <a:ext cx="2079625" cy="157607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9" name="ID_11523355D5C242D9AEB7A84A70450108"/>
        <xdr:cNvPicPr>
          <a:picLocks noChangeAspect="1"/>
        </xdr:cNvPicPr>
      </xdr:nvPicPr>
      <xdr:blipFill>
        <a:blip r:embed="rId52"/>
        <a:stretch>
          <a:fillRect/>
        </a:stretch>
      </xdr:blipFill>
      <xdr:spPr>
        <a:xfrm>
          <a:off x="7126605" y="48630840"/>
          <a:ext cx="3571875" cy="36195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0" name="ID_AA26CE5938394739B9AF267B56768720"/>
        <xdr:cNvPicPr>
          <a:picLocks noChangeAspect="1"/>
        </xdr:cNvPicPr>
      </xdr:nvPicPr>
      <xdr:blipFill>
        <a:blip r:embed="rId53"/>
        <a:stretch>
          <a:fillRect/>
        </a:stretch>
      </xdr:blipFill>
      <xdr:spPr>
        <a:xfrm>
          <a:off x="5845810" y="50441225"/>
          <a:ext cx="1846580" cy="16344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1" name="ID_381E8C4681D349A3993D56E79D97755C"/>
        <xdr:cNvPicPr>
          <a:picLocks noChangeAspect="1"/>
        </xdr:cNvPicPr>
      </xdr:nvPicPr>
      <xdr:blipFill>
        <a:blip r:embed="rId54"/>
        <a:stretch>
          <a:fillRect/>
        </a:stretch>
      </xdr:blipFill>
      <xdr:spPr>
        <a:xfrm>
          <a:off x="7209155" y="50306605"/>
          <a:ext cx="3629025" cy="36195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2" name="ID_6983408906E1426EA3CDD0DB01D6BEEE"/>
        <xdr:cNvPicPr>
          <a:picLocks noChangeAspect="1"/>
        </xdr:cNvPicPr>
      </xdr:nvPicPr>
      <xdr:blipFill>
        <a:blip r:embed="rId55"/>
        <a:stretch>
          <a:fillRect/>
        </a:stretch>
      </xdr:blipFill>
      <xdr:spPr>
        <a:xfrm>
          <a:off x="5887720" y="46916340"/>
          <a:ext cx="4143375" cy="31908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3" name="ID_E7233FA6ED204E559622E33483378300"/>
        <xdr:cNvPicPr>
          <a:picLocks noChangeAspect="1"/>
        </xdr:cNvPicPr>
      </xdr:nvPicPr>
      <xdr:blipFill>
        <a:blip r:embed="rId56"/>
        <a:stretch>
          <a:fillRect/>
        </a:stretch>
      </xdr:blipFill>
      <xdr:spPr>
        <a:xfrm>
          <a:off x="7140575" y="46956345"/>
          <a:ext cx="4000500" cy="33337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4" name="ID_DD332122262649FD8B261FA32642892D"/>
        <xdr:cNvPicPr>
          <a:picLocks noChangeAspect="1"/>
        </xdr:cNvPicPr>
      </xdr:nvPicPr>
      <xdr:blipFill>
        <a:blip r:embed="rId57"/>
        <a:stretch>
          <a:fillRect/>
        </a:stretch>
      </xdr:blipFill>
      <xdr:spPr>
        <a:xfrm>
          <a:off x="5751195" y="48916590"/>
          <a:ext cx="4210050" cy="31623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5" name="ID_7900B318D579443FBECF895438EB4098"/>
        <xdr:cNvPicPr>
          <a:picLocks noChangeAspect="1"/>
        </xdr:cNvPicPr>
      </xdr:nvPicPr>
      <xdr:blipFill>
        <a:blip r:embed="rId58"/>
        <a:stretch>
          <a:fillRect/>
        </a:stretch>
      </xdr:blipFill>
      <xdr:spPr>
        <a:xfrm>
          <a:off x="7113270" y="48617505"/>
          <a:ext cx="3924300" cy="33432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6" name="ID_424D31984A934E95BCA0A05D23343E94"/>
        <xdr:cNvPicPr>
          <a:picLocks noChangeAspect="1"/>
        </xdr:cNvPicPr>
      </xdr:nvPicPr>
      <xdr:blipFill>
        <a:blip r:embed="rId59"/>
        <a:stretch>
          <a:fillRect/>
        </a:stretch>
      </xdr:blipFill>
      <xdr:spPr>
        <a:xfrm>
          <a:off x="6064250" y="55547895"/>
          <a:ext cx="638175" cy="25431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7" name="ID_8022CC49DCB84FCB8DE10071201F7CFD"/>
        <xdr:cNvPicPr>
          <a:picLocks noChangeAspect="1"/>
        </xdr:cNvPicPr>
      </xdr:nvPicPr>
      <xdr:blipFill>
        <a:blip r:embed="rId60"/>
        <a:stretch>
          <a:fillRect/>
        </a:stretch>
      </xdr:blipFill>
      <xdr:spPr>
        <a:xfrm>
          <a:off x="7208520" y="55452645"/>
          <a:ext cx="2619375" cy="24003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8" name="ID_4FBBB2B11764464AA2AC10318D06344A"/>
        <xdr:cNvPicPr>
          <a:picLocks noChangeAspect="1"/>
        </xdr:cNvPicPr>
      </xdr:nvPicPr>
      <xdr:blipFill>
        <a:blip r:embed="rId61"/>
        <a:stretch>
          <a:fillRect/>
        </a:stretch>
      </xdr:blipFill>
      <xdr:spPr>
        <a:xfrm>
          <a:off x="6036945" y="57236360"/>
          <a:ext cx="723900" cy="26003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9" name="ID_00C6533626F44978B1DD925FE24A8CAE"/>
        <xdr:cNvPicPr>
          <a:picLocks noChangeAspect="1"/>
        </xdr:cNvPicPr>
      </xdr:nvPicPr>
      <xdr:blipFill>
        <a:blip r:embed="rId62"/>
        <a:stretch>
          <a:fillRect/>
        </a:stretch>
      </xdr:blipFill>
      <xdr:spPr>
        <a:xfrm>
          <a:off x="7113270" y="57167780"/>
          <a:ext cx="2657475" cy="24384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0" name="ID_66C69C2B430440EDBAE60C66CD32C1A9"/>
        <xdr:cNvPicPr>
          <a:picLocks noChangeAspect="1"/>
        </xdr:cNvPicPr>
      </xdr:nvPicPr>
      <xdr:blipFill>
        <a:blip r:embed="rId63"/>
        <a:stretch>
          <a:fillRect/>
        </a:stretch>
      </xdr:blipFill>
      <xdr:spPr>
        <a:xfrm>
          <a:off x="5860415" y="50319940"/>
          <a:ext cx="1219200" cy="26860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1" name="ID_5E6D8556E63F4E8FB535A7FD7142EC95"/>
        <xdr:cNvPicPr>
          <a:picLocks noChangeAspect="1"/>
        </xdr:cNvPicPr>
      </xdr:nvPicPr>
      <xdr:blipFill>
        <a:blip r:embed="rId64"/>
        <a:stretch>
          <a:fillRect/>
        </a:stretch>
      </xdr:blipFill>
      <xdr:spPr>
        <a:xfrm>
          <a:off x="7140575" y="50292635"/>
          <a:ext cx="4029075" cy="32766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2" name="ID_E62CD4566F404F3084FACBA646B7F8C6"/>
        <xdr:cNvPicPr>
          <a:picLocks noChangeAspect="1"/>
        </xdr:cNvPicPr>
      </xdr:nvPicPr>
      <xdr:blipFill>
        <a:blip r:embed="rId65"/>
        <a:stretch>
          <a:fillRect/>
        </a:stretch>
      </xdr:blipFill>
      <xdr:spPr>
        <a:xfrm>
          <a:off x="5737860" y="51994435"/>
          <a:ext cx="1162050" cy="26765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3" name="ID_F8CC97B382734680A4E2E6F79AC39E28"/>
        <xdr:cNvPicPr>
          <a:picLocks noChangeAspect="1"/>
        </xdr:cNvPicPr>
      </xdr:nvPicPr>
      <xdr:blipFill>
        <a:blip r:embed="rId66"/>
        <a:stretch>
          <a:fillRect/>
        </a:stretch>
      </xdr:blipFill>
      <xdr:spPr>
        <a:xfrm>
          <a:off x="7167880" y="52049045"/>
          <a:ext cx="3943350" cy="3257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4" name="ID_EC43C1988FF84C83B428B5B348E55F6D"/>
        <xdr:cNvPicPr>
          <a:picLocks noChangeAspect="1"/>
        </xdr:cNvPicPr>
      </xdr:nvPicPr>
      <xdr:blipFill>
        <a:blip r:embed="rId67"/>
        <a:stretch>
          <a:fillRect/>
        </a:stretch>
      </xdr:blipFill>
      <xdr:spPr>
        <a:xfrm>
          <a:off x="5751195" y="53723540"/>
          <a:ext cx="1076325" cy="25146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5" name="ID_DF5761CAF03B4BB083B8B09B4FAC6007"/>
        <xdr:cNvPicPr>
          <a:picLocks noChangeAspect="1"/>
        </xdr:cNvPicPr>
      </xdr:nvPicPr>
      <xdr:blipFill>
        <a:blip r:embed="rId68"/>
        <a:stretch>
          <a:fillRect/>
        </a:stretch>
      </xdr:blipFill>
      <xdr:spPr>
        <a:xfrm>
          <a:off x="7263130" y="53736875"/>
          <a:ext cx="4210050" cy="363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6" name="ID_86AE689B97D34AAB850D4C138FC5C349"/>
        <xdr:cNvPicPr>
          <a:picLocks noChangeAspect="1"/>
        </xdr:cNvPicPr>
      </xdr:nvPicPr>
      <xdr:blipFill>
        <a:blip r:embed="rId69"/>
        <a:stretch>
          <a:fillRect/>
        </a:stretch>
      </xdr:blipFill>
      <xdr:spPr>
        <a:xfrm>
          <a:off x="5805805" y="53668930"/>
          <a:ext cx="1295400" cy="2943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7" name="ID_CF725E816A6A41A5A98514B75E06FE99"/>
        <xdr:cNvPicPr>
          <a:picLocks noChangeAspect="1"/>
        </xdr:cNvPicPr>
      </xdr:nvPicPr>
      <xdr:blipFill>
        <a:blip r:embed="rId70"/>
        <a:stretch>
          <a:fillRect/>
        </a:stretch>
      </xdr:blipFill>
      <xdr:spPr>
        <a:xfrm>
          <a:off x="7140575" y="53736875"/>
          <a:ext cx="3609975" cy="30670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8" name="ID_493FEE0F06F147A2986681FFBFBAD87C"/>
        <xdr:cNvPicPr>
          <a:picLocks noChangeAspect="1"/>
        </xdr:cNvPicPr>
      </xdr:nvPicPr>
      <xdr:blipFill>
        <a:blip r:embed="rId71"/>
        <a:stretch>
          <a:fillRect/>
        </a:stretch>
      </xdr:blipFill>
      <xdr:spPr>
        <a:xfrm>
          <a:off x="5833110" y="55438675"/>
          <a:ext cx="1181100" cy="28194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9" name="ID_DE7BBC611E904468B867559E1DD30761"/>
        <xdr:cNvPicPr>
          <a:picLocks noChangeAspect="1"/>
        </xdr:cNvPicPr>
      </xdr:nvPicPr>
      <xdr:blipFill>
        <a:blip r:embed="rId72"/>
        <a:stretch>
          <a:fillRect/>
        </a:stretch>
      </xdr:blipFill>
      <xdr:spPr>
        <a:xfrm>
          <a:off x="7153910" y="55479950"/>
          <a:ext cx="3486150" cy="29718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0" name="ID_68AF1B45F4864961AB6739283F0A0D6D"/>
        <xdr:cNvPicPr>
          <a:picLocks noChangeAspect="1"/>
        </xdr:cNvPicPr>
      </xdr:nvPicPr>
      <xdr:blipFill>
        <a:blip r:embed="rId73"/>
        <a:stretch>
          <a:fillRect/>
        </a:stretch>
      </xdr:blipFill>
      <xdr:spPr>
        <a:xfrm>
          <a:off x="5859145" y="64138810"/>
          <a:ext cx="1437005" cy="15836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1" name="ID_18B659B3210D4489BBCB4B9C98950C3F"/>
        <xdr:cNvPicPr>
          <a:picLocks noChangeAspect="1"/>
        </xdr:cNvPicPr>
      </xdr:nvPicPr>
      <xdr:blipFill>
        <a:blip r:embed="rId74"/>
        <a:stretch>
          <a:fillRect/>
        </a:stretch>
      </xdr:blipFill>
      <xdr:spPr>
        <a:xfrm>
          <a:off x="7289800" y="64043560"/>
          <a:ext cx="3343275" cy="28670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2" name="ID_BEEA30ABEC1C44199AB21BBEEB9721C7"/>
        <xdr:cNvPicPr>
          <a:picLocks noChangeAspect="1"/>
        </xdr:cNvPicPr>
      </xdr:nvPicPr>
      <xdr:blipFill>
        <a:blip r:embed="rId75"/>
        <a:stretch>
          <a:fillRect/>
        </a:stretch>
      </xdr:blipFill>
      <xdr:spPr>
        <a:xfrm>
          <a:off x="5791835" y="62381765"/>
          <a:ext cx="4086225" cy="41433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3" name="ID_51B24B9700D64F429D1A0A35BA9D4862"/>
        <xdr:cNvPicPr>
          <a:picLocks noChangeAspect="1"/>
        </xdr:cNvPicPr>
      </xdr:nvPicPr>
      <xdr:blipFill>
        <a:blip r:embed="rId76"/>
        <a:stretch>
          <a:fillRect/>
        </a:stretch>
      </xdr:blipFill>
      <xdr:spPr>
        <a:xfrm>
          <a:off x="7235825" y="62219205"/>
          <a:ext cx="5600700" cy="23526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4" name="ID_E06A578B21834CA69D01CF44F0AC299C"/>
        <xdr:cNvPicPr>
          <a:picLocks noChangeAspect="1"/>
        </xdr:cNvPicPr>
      </xdr:nvPicPr>
      <xdr:blipFill>
        <a:blip r:embed="rId77"/>
        <a:stretch>
          <a:fillRect/>
        </a:stretch>
      </xdr:blipFill>
      <xdr:spPr>
        <a:xfrm>
          <a:off x="5805805" y="69121020"/>
          <a:ext cx="2247900" cy="2286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5" name="ID_8791860B19314740B2843D5867CE6C42"/>
        <xdr:cNvPicPr>
          <a:picLocks noChangeAspect="1"/>
        </xdr:cNvPicPr>
      </xdr:nvPicPr>
      <xdr:blipFill>
        <a:blip r:embed="rId78"/>
        <a:stretch>
          <a:fillRect/>
        </a:stretch>
      </xdr:blipFill>
      <xdr:spPr>
        <a:xfrm>
          <a:off x="7235825" y="69162295"/>
          <a:ext cx="5076825" cy="23907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6" name="ID_ECFFC9B04AA1410C86FEB0968A34F182"/>
        <xdr:cNvPicPr>
          <a:picLocks noChangeAspect="1"/>
        </xdr:cNvPicPr>
      </xdr:nvPicPr>
      <xdr:blipFill>
        <a:blip r:embed="rId79"/>
        <a:stretch>
          <a:fillRect/>
        </a:stretch>
      </xdr:blipFill>
      <xdr:spPr>
        <a:xfrm>
          <a:off x="5901055" y="70863460"/>
          <a:ext cx="1990725" cy="28575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7" name="ID_CFA64CF1F39448F2AD58BDE099241BE0"/>
        <xdr:cNvPicPr>
          <a:picLocks noChangeAspect="1"/>
        </xdr:cNvPicPr>
      </xdr:nvPicPr>
      <xdr:blipFill>
        <a:blip r:embed="rId80"/>
        <a:stretch>
          <a:fillRect/>
        </a:stretch>
      </xdr:blipFill>
      <xdr:spPr>
        <a:xfrm>
          <a:off x="7208520" y="70728205"/>
          <a:ext cx="5572125" cy="34671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8" name="ID_155F905F67B042D494B6EBB99ACDDD2E"/>
        <xdr:cNvPicPr>
          <a:picLocks noChangeAspect="1"/>
        </xdr:cNvPicPr>
      </xdr:nvPicPr>
      <xdr:blipFill>
        <a:blip r:embed="rId81"/>
        <a:stretch>
          <a:fillRect/>
        </a:stretch>
      </xdr:blipFill>
      <xdr:spPr>
        <a:xfrm>
          <a:off x="6050915" y="72741790"/>
          <a:ext cx="1442720" cy="202438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9" name="ID_9570243D18C54B9285CA630201157913"/>
        <xdr:cNvPicPr>
          <a:picLocks noChangeAspect="1"/>
        </xdr:cNvPicPr>
      </xdr:nvPicPr>
      <xdr:blipFill>
        <a:blip r:embed="rId82"/>
        <a:stretch>
          <a:fillRect/>
        </a:stretch>
      </xdr:blipFill>
      <xdr:spPr>
        <a:xfrm>
          <a:off x="7222490" y="72564625"/>
          <a:ext cx="5257800" cy="31623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0" name="ID_87A55F656B514F23A296C59963B0ED1D"/>
        <xdr:cNvPicPr>
          <a:picLocks noChangeAspect="1"/>
        </xdr:cNvPicPr>
      </xdr:nvPicPr>
      <xdr:blipFill>
        <a:blip r:embed="rId83"/>
        <a:stretch>
          <a:fillRect/>
        </a:stretch>
      </xdr:blipFill>
      <xdr:spPr>
        <a:xfrm>
          <a:off x="5737225" y="74307700"/>
          <a:ext cx="1141095" cy="11195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1" name="ID_7EE0BD28AF7545EEBA923657284695E7"/>
        <xdr:cNvPicPr>
          <a:picLocks noChangeAspect="1"/>
        </xdr:cNvPicPr>
      </xdr:nvPicPr>
      <xdr:blipFill>
        <a:blip r:embed="rId84"/>
        <a:stretch>
          <a:fillRect/>
        </a:stretch>
      </xdr:blipFill>
      <xdr:spPr>
        <a:xfrm>
          <a:off x="5955665" y="76118085"/>
          <a:ext cx="1504950" cy="13379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2" name="ID_8AC5C5FA5D1040D0ABD1537607CCC751"/>
        <xdr:cNvPicPr>
          <a:picLocks noChangeAspect="1"/>
        </xdr:cNvPicPr>
      </xdr:nvPicPr>
      <xdr:blipFill>
        <a:blip r:embed="rId85"/>
        <a:stretch>
          <a:fillRect/>
        </a:stretch>
      </xdr:blipFill>
      <xdr:spPr>
        <a:xfrm>
          <a:off x="7303770" y="74267695"/>
          <a:ext cx="5067300" cy="18954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3" name="ID_E41CB43CC4214EF08193534F8A0C13BD"/>
        <xdr:cNvPicPr>
          <a:picLocks noChangeAspect="1"/>
        </xdr:cNvPicPr>
      </xdr:nvPicPr>
      <xdr:blipFill>
        <a:blip r:embed="rId86"/>
        <a:stretch>
          <a:fillRect/>
        </a:stretch>
      </xdr:blipFill>
      <xdr:spPr>
        <a:xfrm>
          <a:off x="7345045" y="76037440"/>
          <a:ext cx="4810125" cy="16573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4" name="ID_5AEC67826C5148B381466788375CB271"/>
        <xdr:cNvPicPr>
          <a:picLocks noChangeAspect="1"/>
        </xdr:cNvPicPr>
      </xdr:nvPicPr>
      <xdr:blipFill>
        <a:blip r:embed="rId87"/>
        <a:stretch>
          <a:fillRect/>
        </a:stretch>
      </xdr:blipFill>
      <xdr:spPr>
        <a:xfrm>
          <a:off x="5805170" y="77643355"/>
          <a:ext cx="1656080" cy="20777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5" name="ID_B418E9BFEDE142608F9B2295D354E521"/>
        <xdr:cNvPicPr>
          <a:picLocks noChangeAspect="1"/>
        </xdr:cNvPicPr>
      </xdr:nvPicPr>
      <xdr:blipFill>
        <a:blip r:embed="rId88"/>
        <a:stretch>
          <a:fillRect/>
        </a:stretch>
      </xdr:blipFill>
      <xdr:spPr>
        <a:xfrm>
          <a:off x="7263130" y="77507465"/>
          <a:ext cx="4657725" cy="3324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6" name="ID_A8480A45204C45FAB87ED0A110FDB41B"/>
        <xdr:cNvPicPr>
          <a:picLocks noChangeAspect="1"/>
        </xdr:cNvPicPr>
      </xdr:nvPicPr>
      <xdr:blipFill>
        <a:blip r:embed="rId89"/>
        <a:stretch>
          <a:fillRect/>
        </a:stretch>
      </xdr:blipFill>
      <xdr:spPr>
        <a:xfrm>
          <a:off x="5750560" y="79387065"/>
          <a:ext cx="1728470" cy="18421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7" name="ID_1D1102C9B4E64B1CADD13B946A602651"/>
        <xdr:cNvPicPr>
          <a:picLocks noChangeAspect="1"/>
        </xdr:cNvPicPr>
      </xdr:nvPicPr>
      <xdr:blipFill>
        <a:blip r:embed="rId90"/>
        <a:stretch>
          <a:fillRect/>
        </a:stretch>
      </xdr:blipFill>
      <xdr:spPr>
        <a:xfrm>
          <a:off x="7208520" y="79263875"/>
          <a:ext cx="4495800" cy="33337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9" name="ID_30DC6DFEFCB9465C972734C38A79E6EC"/>
        <xdr:cNvPicPr>
          <a:picLocks noChangeAspect="1"/>
        </xdr:cNvPicPr>
      </xdr:nvPicPr>
      <xdr:blipFill>
        <a:blip r:embed="rId91"/>
        <a:stretch>
          <a:fillRect/>
        </a:stretch>
      </xdr:blipFill>
      <xdr:spPr>
        <a:xfrm>
          <a:off x="5791200" y="82327750"/>
          <a:ext cx="2325370" cy="202438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0" name="ID_062BE3AB32F447669B32BE2331763DDE"/>
        <xdr:cNvPicPr>
          <a:picLocks noChangeAspect="1"/>
        </xdr:cNvPicPr>
      </xdr:nvPicPr>
      <xdr:blipFill>
        <a:blip r:embed="rId92"/>
        <a:stretch>
          <a:fillRect/>
        </a:stretch>
      </xdr:blipFill>
      <xdr:spPr>
        <a:xfrm>
          <a:off x="7153910" y="82245835"/>
          <a:ext cx="5314950" cy="37623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3" name="ID_0A56AED46C654CCC9C1F07BCD8A18190"/>
        <xdr:cNvPicPr>
          <a:picLocks noChangeAspect="1"/>
        </xdr:cNvPicPr>
      </xdr:nvPicPr>
      <xdr:blipFill>
        <a:blip r:embed="rId93"/>
        <a:stretch>
          <a:fillRect/>
        </a:stretch>
      </xdr:blipFill>
      <xdr:spPr>
        <a:xfrm>
          <a:off x="7472045" y="135401050"/>
          <a:ext cx="2143125" cy="26574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4" name="ID_1439E16651164FC382BB9FB22F607A97"/>
        <xdr:cNvPicPr>
          <a:picLocks noChangeAspect="1"/>
        </xdr:cNvPicPr>
      </xdr:nvPicPr>
      <xdr:blipFill>
        <a:blip r:embed="rId94"/>
        <a:stretch>
          <a:fillRect/>
        </a:stretch>
      </xdr:blipFill>
      <xdr:spPr>
        <a:xfrm>
          <a:off x="8990965" y="135437245"/>
          <a:ext cx="5353050" cy="35242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7" name="ID_4F586AA10EBE47DEB82B342E2E88AEB3"/>
        <xdr:cNvPicPr>
          <a:picLocks noChangeAspect="1"/>
        </xdr:cNvPicPr>
      </xdr:nvPicPr>
      <xdr:blipFill>
        <a:blip r:embed="rId95"/>
        <a:stretch>
          <a:fillRect/>
        </a:stretch>
      </xdr:blipFill>
      <xdr:spPr>
        <a:xfrm>
          <a:off x="7578725" y="137892155"/>
          <a:ext cx="2114550" cy="3590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9" name="ID_6EEC6322234249DEA17F601E516945B5"/>
        <xdr:cNvPicPr>
          <a:picLocks noChangeAspect="1"/>
        </xdr:cNvPicPr>
      </xdr:nvPicPr>
      <xdr:blipFill>
        <a:blip r:embed="rId96"/>
        <a:stretch>
          <a:fillRect/>
        </a:stretch>
      </xdr:blipFill>
      <xdr:spPr>
        <a:xfrm>
          <a:off x="8979535" y="137915650"/>
          <a:ext cx="5743575" cy="37338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2" name="ID_B2BC0906F8194F7587F38B918C7F8EEF"/>
        <xdr:cNvPicPr>
          <a:picLocks noChangeAspect="1"/>
        </xdr:cNvPicPr>
      </xdr:nvPicPr>
      <xdr:blipFill>
        <a:blip r:embed="rId97"/>
        <a:stretch>
          <a:fillRect/>
        </a:stretch>
      </xdr:blipFill>
      <xdr:spPr>
        <a:xfrm>
          <a:off x="7698740" y="140418185"/>
          <a:ext cx="2762250" cy="28384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3" name="ID_BEA0000A15F04479BE36E3B87C2BE4BA"/>
        <xdr:cNvPicPr>
          <a:picLocks noChangeAspect="1"/>
        </xdr:cNvPicPr>
      </xdr:nvPicPr>
      <xdr:blipFill>
        <a:blip r:embed="rId98"/>
        <a:stretch>
          <a:fillRect/>
        </a:stretch>
      </xdr:blipFill>
      <xdr:spPr>
        <a:xfrm>
          <a:off x="8943340" y="140371195"/>
          <a:ext cx="5667375" cy="35814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6" name="ID_DD2E9A63FAD744A9832C6A4CFCA30A70"/>
        <xdr:cNvPicPr>
          <a:picLocks noChangeAspect="1"/>
        </xdr:cNvPicPr>
      </xdr:nvPicPr>
      <xdr:blipFill>
        <a:blip r:embed="rId99"/>
        <a:stretch>
          <a:fillRect/>
        </a:stretch>
      </xdr:blipFill>
      <xdr:spPr>
        <a:xfrm>
          <a:off x="7590790" y="142873730"/>
          <a:ext cx="2705100" cy="39338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7" name="ID_DD02EA3BFEDE41CC9E056B1B3E5E860E"/>
        <xdr:cNvPicPr>
          <a:picLocks noChangeAspect="1"/>
        </xdr:cNvPicPr>
      </xdr:nvPicPr>
      <xdr:blipFill>
        <a:blip r:embed="rId100"/>
        <a:stretch>
          <a:fillRect/>
        </a:stretch>
      </xdr:blipFill>
      <xdr:spPr>
        <a:xfrm>
          <a:off x="8979535" y="142933420"/>
          <a:ext cx="5753100" cy="3752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0" name="ID_F7BBFBE88E5E4C76A88F6592D990F3E1"/>
        <xdr:cNvPicPr>
          <a:picLocks noChangeAspect="1"/>
        </xdr:cNvPicPr>
      </xdr:nvPicPr>
      <xdr:blipFill>
        <a:blip r:embed="rId101"/>
        <a:stretch>
          <a:fillRect/>
        </a:stretch>
      </xdr:blipFill>
      <xdr:spPr>
        <a:xfrm>
          <a:off x="7602855" y="145543270"/>
          <a:ext cx="2819400" cy="32861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2" name="ID_8DF63A5BAC3943A2AA7C94375CFBA639"/>
        <xdr:cNvPicPr>
          <a:picLocks noChangeAspect="1"/>
        </xdr:cNvPicPr>
      </xdr:nvPicPr>
      <xdr:blipFill>
        <a:blip r:embed="rId102"/>
        <a:stretch>
          <a:fillRect/>
        </a:stretch>
      </xdr:blipFill>
      <xdr:spPr>
        <a:xfrm>
          <a:off x="7460615" y="146632930"/>
          <a:ext cx="2895600" cy="33909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4" name="ID_5F4E969A463F43FCBC2C4138FE7D78B5"/>
        <xdr:cNvPicPr>
          <a:picLocks noChangeAspect="1"/>
        </xdr:cNvPicPr>
      </xdr:nvPicPr>
      <xdr:blipFill>
        <a:blip r:embed="rId103"/>
        <a:stretch>
          <a:fillRect/>
        </a:stretch>
      </xdr:blipFill>
      <xdr:spPr>
        <a:xfrm>
          <a:off x="7567295" y="147843240"/>
          <a:ext cx="3171825" cy="32480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1" name="ID_05ED00D7B03A4752A597995DB5BA265C"/>
        <xdr:cNvPicPr>
          <a:picLocks noChangeAspect="1"/>
        </xdr:cNvPicPr>
      </xdr:nvPicPr>
      <xdr:blipFill>
        <a:blip r:embed="rId104"/>
        <a:stretch>
          <a:fillRect/>
        </a:stretch>
      </xdr:blipFill>
      <xdr:spPr>
        <a:xfrm>
          <a:off x="8823960" y="145411825"/>
          <a:ext cx="5105400" cy="34575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5" name="ID_2E333B66498E4A7C9E6F4C78679461C9"/>
        <xdr:cNvPicPr>
          <a:picLocks noChangeAspect="1"/>
        </xdr:cNvPicPr>
      </xdr:nvPicPr>
      <xdr:blipFill>
        <a:blip r:embed="rId105"/>
        <a:stretch>
          <a:fillRect/>
        </a:stretch>
      </xdr:blipFill>
      <xdr:spPr>
        <a:xfrm>
          <a:off x="9110345" y="148045805"/>
          <a:ext cx="5181600" cy="35718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3" name="ID_4D55E825CB694971B268583DA86D6488"/>
        <xdr:cNvPicPr>
          <a:picLocks noChangeAspect="1"/>
        </xdr:cNvPicPr>
      </xdr:nvPicPr>
      <xdr:blipFill>
        <a:blip r:embed="rId106"/>
        <a:stretch>
          <a:fillRect/>
        </a:stretch>
      </xdr:blipFill>
      <xdr:spPr>
        <a:xfrm>
          <a:off x="8907780" y="146620865"/>
          <a:ext cx="5200650" cy="34194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1" name="ID_470BECC757BF44D49FE06431A0C921ED"/>
        <xdr:cNvPicPr>
          <a:picLocks noChangeAspect="1"/>
        </xdr:cNvPicPr>
      </xdr:nvPicPr>
      <xdr:blipFill>
        <a:blip r:embed="rId107"/>
        <a:stretch>
          <a:fillRect/>
        </a:stretch>
      </xdr:blipFill>
      <xdr:spPr>
        <a:xfrm>
          <a:off x="5805805" y="95403035"/>
          <a:ext cx="4000500" cy="26384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2" name="ID_8F828F13693E496CB4419379239AC313"/>
        <xdr:cNvPicPr>
          <a:picLocks noChangeAspect="1"/>
        </xdr:cNvPicPr>
      </xdr:nvPicPr>
      <xdr:blipFill>
        <a:blip r:embed="rId108"/>
        <a:stretch>
          <a:fillRect/>
        </a:stretch>
      </xdr:blipFill>
      <xdr:spPr>
        <a:xfrm>
          <a:off x="7208520" y="95526225"/>
          <a:ext cx="5133975" cy="20574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3" name="ID_795E83D3909644A0B44E2E077BF3F8B7"/>
        <xdr:cNvPicPr>
          <a:picLocks noChangeAspect="1"/>
        </xdr:cNvPicPr>
      </xdr:nvPicPr>
      <xdr:blipFill>
        <a:blip r:embed="rId109"/>
        <a:stretch>
          <a:fillRect/>
        </a:stretch>
      </xdr:blipFill>
      <xdr:spPr>
        <a:xfrm>
          <a:off x="5723890" y="97160080"/>
          <a:ext cx="4219575" cy="24193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4" name="ID_46EA054B73304716A3BFB10D23BEADFB"/>
        <xdr:cNvPicPr>
          <a:picLocks noChangeAspect="1"/>
        </xdr:cNvPicPr>
      </xdr:nvPicPr>
      <xdr:blipFill>
        <a:blip r:embed="rId110"/>
        <a:stretch>
          <a:fillRect/>
        </a:stretch>
      </xdr:blipFill>
      <xdr:spPr>
        <a:xfrm>
          <a:off x="7140575" y="97119440"/>
          <a:ext cx="4810125" cy="15811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5" name="ID_23A2FD9C8A4546458AC83E75B780C191"/>
        <xdr:cNvPicPr>
          <a:picLocks noChangeAspect="1"/>
        </xdr:cNvPicPr>
      </xdr:nvPicPr>
      <xdr:blipFill>
        <a:blip r:embed="rId111"/>
        <a:stretch>
          <a:fillRect/>
        </a:stretch>
      </xdr:blipFill>
      <xdr:spPr>
        <a:xfrm>
          <a:off x="5859780" y="99066350"/>
          <a:ext cx="2125980" cy="12395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6" name="ID_5DF76345E8D24578A5FCB712D262FA51"/>
        <xdr:cNvPicPr>
          <a:picLocks noChangeAspect="1"/>
        </xdr:cNvPicPr>
      </xdr:nvPicPr>
      <xdr:blipFill>
        <a:blip r:embed="rId112"/>
        <a:stretch>
          <a:fillRect/>
        </a:stretch>
      </xdr:blipFill>
      <xdr:spPr>
        <a:xfrm>
          <a:off x="7222490" y="99066350"/>
          <a:ext cx="2863215" cy="9302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7" name="ID_897DCC83A7884BBA83F094DEB34C0880"/>
        <xdr:cNvPicPr>
          <a:picLocks noChangeAspect="1"/>
        </xdr:cNvPicPr>
      </xdr:nvPicPr>
      <xdr:blipFill>
        <a:blip r:embed="rId113"/>
        <a:stretch>
          <a:fillRect/>
        </a:stretch>
      </xdr:blipFill>
      <xdr:spPr>
        <a:xfrm>
          <a:off x="5873115" y="100508435"/>
          <a:ext cx="1320165" cy="19392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8" name="ID_6E485D26FD3247C398CB25C60F0F7C09"/>
        <xdr:cNvPicPr>
          <a:picLocks noChangeAspect="1"/>
        </xdr:cNvPicPr>
      </xdr:nvPicPr>
      <xdr:blipFill>
        <a:blip r:embed="rId114"/>
        <a:stretch>
          <a:fillRect/>
        </a:stretch>
      </xdr:blipFill>
      <xdr:spPr>
        <a:xfrm>
          <a:off x="7263130" y="100617655"/>
          <a:ext cx="1576070" cy="89408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9" name="ID_6325E90DEA664944A87FC23F47301E24"/>
        <xdr:cNvPicPr>
          <a:picLocks noChangeAspect="1"/>
        </xdr:cNvPicPr>
      </xdr:nvPicPr>
      <xdr:blipFill>
        <a:blip r:embed="rId115"/>
        <a:stretch>
          <a:fillRect/>
        </a:stretch>
      </xdr:blipFill>
      <xdr:spPr>
        <a:xfrm>
          <a:off x="6064250" y="102442010"/>
          <a:ext cx="440055" cy="10693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0" name="ID_D80DFD961AC146EE8D4335B9058E9A2A"/>
        <xdr:cNvPicPr>
          <a:picLocks noChangeAspect="1"/>
        </xdr:cNvPicPr>
      </xdr:nvPicPr>
      <xdr:blipFill>
        <a:blip r:embed="rId116"/>
        <a:stretch>
          <a:fillRect/>
        </a:stretch>
      </xdr:blipFill>
      <xdr:spPr>
        <a:xfrm>
          <a:off x="5982970" y="104021890"/>
          <a:ext cx="906780" cy="15621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1" name="ID_BB7391FA01FF4BCBA30C6F1054918018"/>
        <xdr:cNvPicPr>
          <a:picLocks noChangeAspect="1"/>
        </xdr:cNvPicPr>
      </xdr:nvPicPr>
      <xdr:blipFill>
        <a:blip r:embed="rId117"/>
        <a:stretch>
          <a:fillRect/>
        </a:stretch>
      </xdr:blipFill>
      <xdr:spPr>
        <a:xfrm>
          <a:off x="7317105" y="102360730"/>
          <a:ext cx="1575435" cy="121475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2" name="ID_30C32A23EF014268B810C3CA7E526FD4"/>
        <xdr:cNvPicPr>
          <a:picLocks noChangeAspect="1"/>
        </xdr:cNvPicPr>
      </xdr:nvPicPr>
      <xdr:blipFill>
        <a:blip r:embed="rId118"/>
        <a:stretch>
          <a:fillRect/>
        </a:stretch>
      </xdr:blipFill>
      <xdr:spPr>
        <a:xfrm>
          <a:off x="7385685" y="104061895"/>
          <a:ext cx="1171575" cy="180149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3" name="ID_FB969117C5644E22A3DC66DC0759351E"/>
        <xdr:cNvPicPr>
          <a:picLocks noChangeAspect="1"/>
        </xdr:cNvPicPr>
      </xdr:nvPicPr>
      <xdr:blipFill>
        <a:blip r:embed="rId119"/>
        <a:stretch>
          <a:fillRect/>
        </a:stretch>
      </xdr:blipFill>
      <xdr:spPr>
        <a:xfrm>
          <a:off x="5900420" y="107505500"/>
          <a:ext cx="2620010" cy="14649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4" name="ID_7412AA3F01CB4F9F80F51B456DEA129F"/>
        <xdr:cNvPicPr>
          <a:picLocks noChangeAspect="1"/>
        </xdr:cNvPicPr>
      </xdr:nvPicPr>
      <xdr:blipFill>
        <a:blip r:embed="rId120"/>
        <a:stretch>
          <a:fillRect/>
        </a:stretch>
      </xdr:blipFill>
      <xdr:spPr>
        <a:xfrm>
          <a:off x="5819140" y="109058710"/>
          <a:ext cx="2421890" cy="1431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5" name="ID_1B42230FAFEF4792B2E7FAD8488DFC96"/>
        <xdr:cNvPicPr>
          <a:picLocks noChangeAspect="1"/>
        </xdr:cNvPicPr>
      </xdr:nvPicPr>
      <xdr:blipFill>
        <a:blip r:embed="rId121"/>
        <a:stretch>
          <a:fillRect/>
        </a:stretch>
      </xdr:blipFill>
      <xdr:spPr>
        <a:xfrm>
          <a:off x="5831840" y="109167295"/>
          <a:ext cx="1898650" cy="10071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6" name="ID_92A58CDD84944D6A9AB47A161778BE34"/>
        <xdr:cNvPicPr>
          <a:picLocks noChangeAspect="1"/>
        </xdr:cNvPicPr>
      </xdr:nvPicPr>
      <xdr:blipFill>
        <a:blip r:embed="rId122"/>
        <a:stretch>
          <a:fillRect/>
        </a:stretch>
      </xdr:blipFill>
      <xdr:spPr>
        <a:xfrm>
          <a:off x="5873115" y="110911005"/>
          <a:ext cx="2116455" cy="11906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7" name="ID_6D68A5AECC054687BB479AFDBDFB3E66"/>
        <xdr:cNvPicPr>
          <a:picLocks noChangeAspect="1"/>
        </xdr:cNvPicPr>
      </xdr:nvPicPr>
      <xdr:blipFill>
        <a:blip r:embed="rId123"/>
        <a:stretch>
          <a:fillRect/>
        </a:stretch>
      </xdr:blipFill>
      <xdr:spPr>
        <a:xfrm>
          <a:off x="7303770" y="105655745"/>
          <a:ext cx="5638800" cy="25146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8" name="ID_3DD3E50AE2464ABFACBB01D0AAB5AE06"/>
        <xdr:cNvPicPr>
          <a:picLocks noChangeAspect="1"/>
        </xdr:cNvPicPr>
      </xdr:nvPicPr>
      <xdr:blipFill>
        <a:blip r:embed="rId124"/>
        <a:stretch>
          <a:fillRect/>
        </a:stretch>
      </xdr:blipFill>
      <xdr:spPr>
        <a:xfrm>
          <a:off x="7195185" y="106957495"/>
          <a:ext cx="5610225" cy="2562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9" name="ID_1B400FDE8E834F0D9D72F809D179C412"/>
        <xdr:cNvPicPr>
          <a:picLocks noChangeAspect="1"/>
        </xdr:cNvPicPr>
      </xdr:nvPicPr>
      <xdr:blipFill>
        <a:blip r:embed="rId125"/>
        <a:stretch>
          <a:fillRect/>
        </a:stretch>
      </xdr:blipFill>
      <xdr:spPr>
        <a:xfrm>
          <a:off x="7208520" y="108370370"/>
          <a:ext cx="5619750" cy="23907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0" name="ID_7C6943F026BD491288EE6FE4E1EAC523"/>
        <xdr:cNvPicPr>
          <a:picLocks noChangeAspect="1"/>
        </xdr:cNvPicPr>
      </xdr:nvPicPr>
      <xdr:blipFill>
        <a:blip r:embed="rId126"/>
        <a:stretch>
          <a:fillRect/>
        </a:stretch>
      </xdr:blipFill>
      <xdr:spPr>
        <a:xfrm>
          <a:off x="7181215" y="109593380"/>
          <a:ext cx="5657850" cy="24003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1" name="ID_7442992BE28A456DB8D0D1140C0FEE59"/>
        <xdr:cNvPicPr>
          <a:picLocks noChangeAspect="1"/>
        </xdr:cNvPicPr>
      </xdr:nvPicPr>
      <xdr:blipFill>
        <a:blip r:embed="rId127"/>
        <a:stretch>
          <a:fillRect/>
        </a:stretch>
      </xdr:blipFill>
      <xdr:spPr>
        <a:xfrm>
          <a:off x="5736590" y="110549690"/>
          <a:ext cx="2120265" cy="15773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2" name="ID_8A7C9678C1324C0A92CE28B9FD6E10D1"/>
        <xdr:cNvPicPr>
          <a:picLocks noChangeAspect="1"/>
        </xdr:cNvPicPr>
      </xdr:nvPicPr>
      <xdr:blipFill>
        <a:blip r:embed="rId128"/>
        <a:stretch>
          <a:fillRect/>
        </a:stretch>
      </xdr:blipFill>
      <xdr:spPr>
        <a:xfrm>
          <a:off x="7195185" y="110576360"/>
          <a:ext cx="5743575" cy="26003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3" name="ID_85952BFDF9E24060A562061750A38D7F"/>
        <xdr:cNvPicPr>
          <a:picLocks noChangeAspect="1"/>
        </xdr:cNvPicPr>
      </xdr:nvPicPr>
      <xdr:blipFill>
        <a:blip r:embed="rId129"/>
        <a:stretch>
          <a:fillRect/>
        </a:stretch>
      </xdr:blipFill>
      <xdr:spPr>
        <a:xfrm>
          <a:off x="5778500" y="112308640"/>
          <a:ext cx="4114800" cy="32766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4" name="ID_362C837B62394F64A973452393CE6D46"/>
        <xdr:cNvPicPr>
          <a:picLocks noChangeAspect="1"/>
        </xdr:cNvPicPr>
      </xdr:nvPicPr>
      <xdr:blipFill>
        <a:blip r:embed="rId130"/>
        <a:stretch>
          <a:fillRect/>
        </a:stretch>
      </xdr:blipFill>
      <xdr:spPr>
        <a:xfrm>
          <a:off x="7140575" y="112294670"/>
          <a:ext cx="5657850" cy="22955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6" name="ID_EEF4E7D2BB694A88A007FFC0A9FA592F"/>
        <xdr:cNvPicPr>
          <a:picLocks noChangeAspect="1"/>
        </xdr:cNvPicPr>
      </xdr:nvPicPr>
      <xdr:blipFill>
        <a:blip r:embed="rId131"/>
        <a:stretch>
          <a:fillRect/>
        </a:stretch>
      </xdr:blipFill>
      <xdr:spPr>
        <a:xfrm>
          <a:off x="5805805" y="115928775"/>
          <a:ext cx="1880870" cy="12573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7" name="ID_EA390547590547DAA555DF8E35D6A542"/>
        <xdr:cNvPicPr>
          <a:picLocks noChangeAspect="1"/>
        </xdr:cNvPicPr>
      </xdr:nvPicPr>
      <xdr:blipFill>
        <a:blip r:embed="rId132"/>
        <a:stretch>
          <a:fillRect/>
        </a:stretch>
      </xdr:blipFill>
      <xdr:spPr>
        <a:xfrm>
          <a:off x="5751195" y="114105690"/>
          <a:ext cx="4695825" cy="30765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8" name="ID_FD890AEB959A4EFE99770BE9380D7BB6"/>
        <xdr:cNvPicPr>
          <a:picLocks noChangeAspect="1"/>
        </xdr:cNvPicPr>
      </xdr:nvPicPr>
      <xdr:blipFill>
        <a:blip r:embed="rId133"/>
        <a:stretch>
          <a:fillRect/>
        </a:stretch>
      </xdr:blipFill>
      <xdr:spPr>
        <a:xfrm>
          <a:off x="7303770" y="113983135"/>
          <a:ext cx="5553075" cy="24765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9" name="ID_BCA755CF71EA4CF69FB06BF5E525A446"/>
        <xdr:cNvPicPr>
          <a:picLocks noChangeAspect="1"/>
        </xdr:cNvPicPr>
      </xdr:nvPicPr>
      <xdr:blipFill>
        <a:blip r:embed="rId134"/>
        <a:stretch>
          <a:fillRect/>
        </a:stretch>
      </xdr:blipFill>
      <xdr:spPr>
        <a:xfrm>
          <a:off x="7127240" y="115537615"/>
          <a:ext cx="5581650" cy="26193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0" name="ID_B86958581F394E95A819728B92547200"/>
        <xdr:cNvPicPr>
          <a:picLocks noChangeAspect="1"/>
        </xdr:cNvPicPr>
      </xdr:nvPicPr>
      <xdr:blipFill>
        <a:blip r:embed="rId135"/>
        <a:stretch>
          <a:fillRect/>
        </a:stretch>
      </xdr:blipFill>
      <xdr:spPr>
        <a:xfrm>
          <a:off x="5791835" y="117062250"/>
          <a:ext cx="1543050" cy="213931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1" name="ID_4A91B184504A4B18A2C117CC26884E41"/>
        <xdr:cNvPicPr>
          <a:picLocks noChangeAspect="1"/>
        </xdr:cNvPicPr>
      </xdr:nvPicPr>
      <xdr:blipFill>
        <a:blip r:embed="rId136"/>
        <a:stretch>
          <a:fillRect/>
        </a:stretch>
      </xdr:blipFill>
      <xdr:spPr>
        <a:xfrm>
          <a:off x="7385685" y="117171470"/>
          <a:ext cx="5619750" cy="24765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2" name="ID_DC5969F57028428D8057E542D4C29777"/>
        <xdr:cNvPicPr>
          <a:picLocks noChangeAspect="1"/>
        </xdr:cNvPicPr>
      </xdr:nvPicPr>
      <xdr:blipFill>
        <a:blip r:embed="rId137"/>
        <a:stretch>
          <a:fillRect/>
        </a:stretch>
      </xdr:blipFill>
      <xdr:spPr>
        <a:xfrm>
          <a:off x="5750560" y="119797830"/>
          <a:ext cx="2053590" cy="26746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3" name="ID_C11222BBAF0D40E393C2343F429C45EA"/>
        <xdr:cNvPicPr>
          <a:picLocks noChangeAspect="1"/>
        </xdr:cNvPicPr>
      </xdr:nvPicPr>
      <xdr:blipFill>
        <a:blip r:embed="rId138"/>
        <a:stretch>
          <a:fillRect/>
        </a:stretch>
      </xdr:blipFill>
      <xdr:spPr>
        <a:xfrm>
          <a:off x="7263130" y="119784495"/>
          <a:ext cx="5562600" cy="26574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4" name="ID_59C8BE48D65B4FA5A8ED53EE7AAC9A88"/>
        <xdr:cNvPicPr>
          <a:picLocks noChangeAspect="1"/>
        </xdr:cNvPicPr>
      </xdr:nvPicPr>
      <xdr:blipFill>
        <a:blip r:embed="rId139"/>
        <a:stretch>
          <a:fillRect/>
        </a:stretch>
      </xdr:blipFill>
      <xdr:spPr>
        <a:xfrm>
          <a:off x="5750560" y="121750455"/>
          <a:ext cx="1854200" cy="97536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5" name="ID_442E61D59E914694874F992A57398622"/>
        <xdr:cNvPicPr>
          <a:picLocks noChangeAspect="1"/>
        </xdr:cNvPicPr>
      </xdr:nvPicPr>
      <xdr:blipFill>
        <a:blip r:embed="rId140"/>
        <a:stretch>
          <a:fillRect/>
        </a:stretch>
      </xdr:blipFill>
      <xdr:spPr>
        <a:xfrm>
          <a:off x="7208520" y="121438670"/>
          <a:ext cx="5495925" cy="3590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6" name="ID_D65430ADF48E47579BCABCC3D047916F"/>
        <xdr:cNvPicPr>
          <a:picLocks noChangeAspect="1"/>
        </xdr:cNvPicPr>
      </xdr:nvPicPr>
      <xdr:blipFill>
        <a:blip r:embed="rId141"/>
        <a:stretch>
          <a:fillRect/>
        </a:stretch>
      </xdr:blipFill>
      <xdr:spPr>
        <a:xfrm>
          <a:off x="5832475" y="123156980"/>
          <a:ext cx="1488440" cy="89027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8" name="ID_414B0DF93DD346F9B1927E7C128027E7"/>
        <xdr:cNvPicPr>
          <a:picLocks noChangeAspect="1"/>
        </xdr:cNvPicPr>
      </xdr:nvPicPr>
      <xdr:blipFill>
        <a:blip r:embed="rId142"/>
        <a:stretch>
          <a:fillRect/>
        </a:stretch>
      </xdr:blipFill>
      <xdr:spPr>
        <a:xfrm>
          <a:off x="7167880" y="123021090"/>
          <a:ext cx="5429250" cy="363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9" name="ID_DD4284F1141F46F6ACEC64BEB8E780B5"/>
        <xdr:cNvPicPr>
          <a:picLocks noChangeAspect="1"/>
        </xdr:cNvPicPr>
      </xdr:nvPicPr>
      <xdr:blipFill>
        <a:blip r:embed="rId143"/>
        <a:stretch>
          <a:fillRect/>
        </a:stretch>
      </xdr:blipFill>
      <xdr:spPr>
        <a:xfrm>
          <a:off x="5818505" y="124797820"/>
          <a:ext cx="2109470" cy="10001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0" name="ID_11851F18656D496383804E69A8190C8E"/>
        <xdr:cNvPicPr>
          <a:picLocks noChangeAspect="1"/>
        </xdr:cNvPicPr>
      </xdr:nvPicPr>
      <xdr:blipFill>
        <a:blip r:embed="rId144"/>
        <a:stretch>
          <a:fillRect/>
        </a:stretch>
      </xdr:blipFill>
      <xdr:spPr>
        <a:xfrm>
          <a:off x="5859780" y="126385955"/>
          <a:ext cx="2086610" cy="10731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1" name="ID_5AEB238F43364E2DAEB512FA90C52FF1"/>
        <xdr:cNvPicPr>
          <a:picLocks noChangeAspect="1"/>
        </xdr:cNvPicPr>
      </xdr:nvPicPr>
      <xdr:blipFill>
        <a:blip r:embed="rId145"/>
        <a:stretch>
          <a:fillRect/>
        </a:stretch>
      </xdr:blipFill>
      <xdr:spPr>
        <a:xfrm>
          <a:off x="7235825" y="124743845"/>
          <a:ext cx="5705475" cy="36004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2" name="ID_1A8A47FF7775442B863294EC99A9D957"/>
        <xdr:cNvPicPr>
          <a:picLocks noChangeAspect="1"/>
        </xdr:cNvPicPr>
      </xdr:nvPicPr>
      <xdr:blipFill>
        <a:blip r:embed="rId146"/>
        <a:stretch>
          <a:fillRect/>
        </a:stretch>
      </xdr:blipFill>
      <xdr:spPr>
        <a:xfrm>
          <a:off x="7154545" y="126277370"/>
          <a:ext cx="5581650" cy="36576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3" name="ID_D97967C0F0C34E659B339A625B4CBF9F"/>
        <xdr:cNvPicPr>
          <a:picLocks noChangeAspect="1"/>
        </xdr:cNvPicPr>
      </xdr:nvPicPr>
      <xdr:blipFill>
        <a:blip r:embed="rId147"/>
        <a:stretch>
          <a:fillRect/>
        </a:stretch>
      </xdr:blipFill>
      <xdr:spPr>
        <a:xfrm>
          <a:off x="5805170" y="127919480"/>
          <a:ext cx="1641475" cy="16135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4" name="ID_27DE26A08FAF497B94F6D9A80494902D"/>
        <xdr:cNvPicPr>
          <a:picLocks noChangeAspect="1"/>
        </xdr:cNvPicPr>
      </xdr:nvPicPr>
      <xdr:blipFill>
        <a:blip r:embed="rId148"/>
        <a:stretch>
          <a:fillRect/>
        </a:stretch>
      </xdr:blipFill>
      <xdr:spPr>
        <a:xfrm>
          <a:off x="5900420" y="129599690"/>
          <a:ext cx="1394460" cy="14128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5" name="ID_49DF90F7285F4817B53279B83FEAEFF6"/>
        <xdr:cNvPicPr>
          <a:picLocks noChangeAspect="1"/>
        </xdr:cNvPicPr>
      </xdr:nvPicPr>
      <xdr:blipFill>
        <a:blip r:embed="rId149"/>
        <a:stretch>
          <a:fillRect/>
        </a:stretch>
      </xdr:blipFill>
      <xdr:spPr>
        <a:xfrm>
          <a:off x="7140575" y="127824230"/>
          <a:ext cx="5857875" cy="26955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6" name="ID_087986698F5043298D96C72DBDB31EFC"/>
        <xdr:cNvPicPr>
          <a:picLocks noChangeAspect="1"/>
        </xdr:cNvPicPr>
      </xdr:nvPicPr>
      <xdr:blipFill>
        <a:blip r:embed="rId150"/>
        <a:stretch>
          <a:fillRect/>
        </a:stretch>
      </xdr:blipFill>
      <xdr:spPr>
        <a:xfrm>
          <a:off x="7208520" y="129558415"/>
          <a:ext cx="5067300" cy="31908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8" name="ID_FE674D0F786D4B85A36C6BBE6298D206"/>
        <xdr:cNvPicPr>
          <a:picLocks noChangeAspect="1"/>
        </xdr:cNvPicPr>
      </xdr:nvPicPr>
      <xdr:blipFill>
        <a:blip r:embed="rId151"/>
        <a:stretch>
          <a:fillRect/>
        </a:stretch>
      </xdr:blipFill>
      <xdr:spPr>
        <a:xfrm>
          <a:off x="7579360" y="164232590"/>
          <a:ext cx="5467350" cy="24860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6" name="ID_DC8AF27D9F684DF784200F5ED60A95CB"/>
        <xdr:cNvPicPr>
          <a:picLocks noChangeAspect="1"/>
        </xdr:cNvPicPr>
      </xdr:nvPicPr>
      <xdr:blipFill>
        <a:blip r:embed="rId152"/>
        <a:stretch>
          <a:fillRect/>
        </a:stretch>
      </xdr:blipFill>
      <xdr:spPr>
        <a:xfrm>
          <a:off x="7591425" y="164184965"/>
          <a:ext cx="4819650" cy="34956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00" name="ID_2E19B9C231B14DC19BFD4EAAB35E99C4"/>
        <xdr:cNvPicPr>
          <a:picLocks noChangeAspect="1"/>
        </xdr:cNvPicPr>
      </xdr:nvPicPr>
      <xdr:blipFill>
        <a:blip r:embed="rId153"/>
        <a:stretch>
          <a:fillRect/>
        </a:stretch>
      </xdr:blipFill>
      <xdr:spPr>
        <a:xfrm>
          <a:off x="7603490" y="166305230"/>
          <a:ext cx="4762500" cy="28575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9" name="ID_F290827495C64B228FAF0FE548ED9A7D"/>
        <xdr:cNvPicPr>
          <a:picLocks noChangeAspect="1"/>
        </xdr:cNvPicPr>
      </xdr:nvPicPr>
      <xdr:blipFill>
        <a:blip r:embed="rId154"/>
        <a:stretch>
          <a:fillRect/>
        </a:stretch>
      </xdr:blipFill>
      <xdr:spPr>
        <a:xfrm>
          <a:off x="8836025" y="164161470"/>
          <a:ext cx="5715000" cy="33432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7" name="ID_E3B74ABE2A054A44917EBA361BFC1819"/>
        <xdr:cNvPicPr>
          <a:picLocks noChangeAspect="1"/>
        </xdr:cNvPicPr>
      </xdr:nvPicPr>
      <xdr:blipFill>
        <a:blip r:embed="rId155"/>
        <a:stretch>
          <a:fillRect/>
        </a:stretch>
      </xdr:blipFill>
      <xdr:spPr>
        <a:xfrm>
          <a:off x="8860155" y="164160835"/>
          <a:ext cx="5562600" cy="27908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01" name="ID_2F2F4F3524F9493AAD544EA2956C139D"/>
        <xdr:cNvPicPr>
          <a:picLocks noChangeAspect="1"/>
        </xdr:cNvPicPr>
      </xdr:nvPicPr>
      <xdr:blipFill>
        <a:blip r:embed="rId156"/>
        <a:stretch>
          <a:fillRect/>
        </a:stretch>
      </xdr:blipFill>
      <xdr:spPr>
        <a:xfrm>
          <a:off x="8836660" y="166281100"/>
          <a:ext cx="5505450" cy="27908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7" name="ID_F13D88E672134714843EAF8C12A4C7BA"/>
        <xdr:cNvPicPr>
          <a:picLocks noChangeAspect="1"/>
        </xdr:cNvPicPr>
      </xdr:nvPicPr>
      <xdr:blipFill>
        <a:blip r:embed="rId157"/>
        <a:stretch>
          <a:fillRect/>
        </a:stretch>
      </xdr:blipFill>
      <xdr:spPr>
        <a:xfrm>
          <a:off x="5886450" y="135544560"/>
          <a:ext cx="1817370" cy="22098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8" name="ID_1563E6E299414EC09AE4A255844B570B"/>
        <xdr:cNvPicPr>
          <a:picLocks noChangeAspect="1"/>
        </xdr:cNvPicPr>
      </xdr:nvPicPr>
      <xdr:blipFill>
        <a:blip r:embed="rId158"/>
        <a:stretch>
          <a:fillRect/>
        </a:stretch>
      </xdr:blipFill>
      <xdr:spPr>
        <a:xfrm>
          <a:off x="7195185" y="135503285"/>
          <a:ext cx="5753100" cy="3810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" name="ID_8817EAB2CB154268B6FF54885AC273C8"/>
        <xdr:cNvPicPr>
          <a:picLocks noChangeAspect="1"/>
        </xdr:cNvPicPr>
      </xdr:nvPicPr>
      <xdr:blipFill>
        <a:blip r:embed="rId159"/>
        <a:stretch>
          <a:fillRect/>
        </a:stretch>
      </xdr:blipFill>
      <xdr:spPr>
        <a:xfrm>
          <a:off x="5860415" y="137281285"/>
          <a:ext cx="3714750" cy="42481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1" name="ID_E6F0681607174285AA97EC31709A6BDC"/>
        <xdr:cNvPicPr>
          <a:picLocks noChangeAspect="1"/>
        </xdr:cNvPicPr>
      </xdr:nvPicPr>
      <xdr:blipFill>
        <a:blip r:embed="rId160"/>
        <a:stretch>
          <a:fillRect/>
        </a:stretch>
      </xdr:blipFill>
      <xdr:spPr>
        <a:xfrm>
          <a:off x="7154545" y="137240010"/>
          <a:ext cx="5734050" cy="37909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2" name="ID_D7CEA6B29E2B44AB82D45A7F149E7215"/>
        <xdr:cNvPicPr>
          <a:picLocks noChangeAspect="1"/>
        </xdr:cNvPicPr>
      </xdr:nvPicPr>
      <xdr:blipFill>
        <a:blip r:embed="rId161"/>
        <a:stretch>
          <a:fillRect/>
        </a:stretch>
      </xdr:blipFill>
      <xdr:spPr>
        <a:xfrm>
          <a:off x="5819140" y="138955780"/>
          <a:ext cx="1924050" cy="1685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6" name="ID_51A516E9B3594139B638E751408EDA71"/>
        <xdr:cNvPicPr>
          <a:picLocks noChangeAspect="1"/>
        </xdr:cNvPicPr>
      </xdr:nvPicPr>
      <xdr:blipFill>
        <a:blip r:embed="rId162"/>
        <a:stretch>
          <a:fillRect/>
        </a:stretch>
      </xdr:blipFill>
      <xdr:spPr>
        <a:xfrm>
          <a:off x="7453630" y="139173585"/>
          <a:ext cx="5257800" cy="2228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7" name="ID_CD85B3BDF1FB43B38E6FF1C70CD0488C"/>
        <xdr:cNvPicPr>
          <a:picLocks noChangeAspect="1"/>
        </xdr:cNvPicPr>
      </xdr:nvPicPr>
      <xdr:blipFill>
        <a:blip r:embed="rId163"/>
        <a:stretch>
          <a:fillRect/>
        </a:stretch>
      </xdr:blipFill>
      <xdr:spPr>
        <a:xfrm>
          <a:off x="5805805" y="140684885"/>
          <a:ext cx="2781300" cy="33623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8" name="ID_641AA325876C4796A1C187CA97F62A40"/>
        <xdr:cNvPicPr>
          <a:picLocks noChangeAspect="1"/>
        </xdr:cNvPicPr>
      </xdr:nvPicPr>
      <xdr:blipFill>
        <a:blip r:embed="rId164"/>
        <a:stretch>
          <a:fillRect/>
        </a:stretch>
      </xdr:blipFill>
      <xdr:spPr>
        <a:xfrm>
          <a:off x="7167880" y="140589635"/>
          <a:ext cx="5524500" cy="19716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5" name="ID_92A962C9737A40ABB827E532DCDDE8F4"/>
        <xdr:cNvPicPr>
          <a:picLocks noChangeAspect="1"/>
        </xdr:cNvPicPr>
      </xdr:nvPicPr>
      <xdr:blipFill>
        <a:blip r:embed="rId165"/>
        <a:stretch>
          <a:fillRect/>
        </a:stretch>
      </xdr:blipFill>
      <xdr:spPr>
        <a:xfrm>
          <a:off x="5901055" y="142331440"/>
          <a:ext cx="4210050" cy="29146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7" name="ID_C992AF1D029F4A78A4AC123C4D697E19"/>
        <xdr:cNvPicPr>
          <a:picLocks noChangeAspect="1"/>
        </xdr:cNvPicPr>
      </xdr:nvPicPr>
      <xdr:blipFill>
        <a:blip r:embed="rId166"/>
        <a:stretch>
          <a:fillRect/>
        </a:stretch>
      </xdr:blipFill>
      <xdr:spPr>
        <a:xfrm>
          <a:off x="7154545" y="142344775"/>
          <a:ext cx="5695950" cy="14478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9" name="ID_F6ACFBDA9C51457AB3C8BB3EF2959C2E"/>
        <xdr:cNvPicPr>
          <a:picLocks noChangeAspect="1"/>
        </xdr:cNvPicPr>
      </xdr:nvPicPr>
      <xdr:blipFill>
        <a:blip r:embed="rId167"/>
        <a:stretch>
          <a:fillRect/>
        </a:stretch>
      </xdr:blipFill>
      <xdr:spPr>
        <a:xfrm>
          <a:off x="5791835" y="144019905"/>
          <a:ext cx="5076825" cy="23336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0" name="ID_1CC8540C474646AA96F7D3074812C034"/>
        <xdr:cNvPicPr>
          <a:picLocks noChangeAspect="1"/>
        </xdr:cNvPicPr>
      </xdr:nvPicPr>
      <xdr:blipFill>
        <a:blip r:embed="rId168"/>
        <a:stretch>
          <a:fillRect/>
        </a:stretch>
      </xdr:blipFill>
      <xdr:spPr>
        <a:xfrm>
          <a:off x="7263130" y="144115155"/>
          <a:ext cx="5800725" cy="18288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1" name="ID_8B375C269D974A948A9125BB42EB2707"/>
        <xdr:cNvPicPr>
          <a:picLocks noChangeAspect="1"/>
        </xdr:cNvPicPr>
      </xdr:nvPicPr>
      <xdr:blipFill>
        <a:blip r:embed="rId169"/>
        <a:stretch>
          <a:fillRect/>
        </a:stretch>
      </xdr:blipFill>
      <xdr:spPr>
        <a:xfrm>
          <a:off x="5941695" y="145525490"/>
          <a:ext cx="4248150" cy="12477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2" name="ID_687FC52BB92E4D4C936884D38789960C"/>
        <xdr:cNvPicPr>
          <a:picLocks noChangeAspect="1"/>
        </xdr:cNvPicPr>
      </xdr:nvPicPr>
      <xdr:blipFill>
        <a:blip r:embed="rId170"/>
        <a:stretch>
          <a:fillRect/>
        </a:stretch>
      </xdr:blipFill>
      <xdr:spPr>
        <a:xfrm>
          <a:off x="7147560" y="145784570"/>
          <a:ext cx="5629275" cy="1419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3" name="ID_D90B12BC2AC740F9A617C6DAF3D9AE49"/>
        <xdr:cNvPicPr>
          <a:picLocks noChangeAspect="1"/>
        </xdr:cNvPicPr>
      </xdr:nvPicPr>
      <xdr:blipFill>
        <a:blip r:embed="rId171"/>
        <a:stretch>
          <a:fillRect/>
        </a:stretch>
      </xdr:blipFill>
      <xdr:spPr>
        <a:xfrm>
          <a:off x="3518535" y="147162520"/>
          <a:ext cx="1725930" cy="35579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4" name="ID_46759C499A5A42F98353FC191015E15E"/>
        <xdr:cNvPicPr>
          <a:picLocks noChangeAspect="1"/>
        </xdr:cNvPicPr>
      </xdr:nvPicPr>
      <xdr:blipFill>
        <a:blip r:embed="rId172"/>
        <a:stretch>
          <a:fillRect/>
        </a:stretch>
      </xdr:blipFill>
      <xdr:spPr>
        <a:xfrm>
          <a:off x="7195185" y="147189825"/>
          <a:ext cx="4991100" cy="3638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5" name="ID_A30AAC67A7A24557810F806E61EC05C3"/>
        <xdr:cNvPicPr>
          <a:picLocks noChangeAspect="1"/>
        </xdr:cNvPicPr>
      </xdr:nvPicPr>
      <xdr:blipFill>
        <a:blip r:embed="rId173"/>
        <a:stretch>
          <a:fillRect/>
        </a:stretch>
      </xdr:blipFill>
      <xdr:spPr>
        <a:xfrm>
          <a:off x="5901055" y="148946235"/>
          <a:ext cx="3371850" cy="27813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6" name="ID_18839745CD3F4C65A932B1E9E81C0AA0"/>
        <xdr:cNvPicPr>
          <a:picLocks noChangeAspect="1"/>
        </xdr:cNvPicPr>
      </xdr:nvPicPr>
      <xdr:blipFill>
        <a:blip r:embed="rId174"/>
        <a:stretch>
          <a:fillRect/>
        </a:stretch>
      </xdr:blipFill>
      <xdr:spPr>
        <a:xfrm>
          <a:off x="7195185" y="148824315"/>
          <a:ext cx="5676900" cy="33432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7" name="ID_8991450EAD184AD5AEC204B91B2D61B9"/>
        <xdr:cNvPicPr>
          <a:picLocks noChangeAspect="1"/>
        </xdr:cNvPicPr>
      </xdr:nvPicPr>
      <xdr:blipFill>
        <a:blip r:embed="rId175"/>
        <a:stretch>
          <a:fillRect/>
        </a:stretch>
      </xdr:blipFill>
      <xdr:spPr>
        <a:xfrm>
          <a:off x="5969000" y="131297045"/>
          <a:ext cx="3790950" cy="30003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8" name="ID_5EE831A989C14CFF986361E85B863E1E"/>
        <xdr:cNvPicPr>
          <a:picLocks noChangeAspect="1"/>
        </xdr:cNvPicPr>
      </xdr:nvPicPr>
      <xdr:blipFill>
        <a:blip r:embed="rId176"/>
        <a:stretch>
          <a:fillRect/>
        </a:stretch>
      </xdr:blipFill>
      <xdr:spPr>
        <a:xfrm>
          <a:off x="7172325" y="131011295"/>
          <a:ext cx="5591175" cy="32480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9" name="ID_A067DD801624433A9E8E7AFD65060064"/>
        <xdr:cNvPicPr>
          <a:picLocks noChangeAspect="1"/>
        </xdr:cNvPicPr>
      </xdr:nvPicPr>
      <xdr:blipFill>
        <a:blip r:embed="rId177"/>
        <a:stretch>
          <a:fillRect/>
        </a:stretch>
      </xdr:blipFill>
      <xdr:spPr>
        <a:xfrm>
          <a:off x="5846445" y="132780405"/>
          <a:ext cx="2990850" cy="3752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0" name="ID_210D3B9069EA4970AACCE2EC41A0ADC6"/>
        <xdr:cNvPicPr>
          <a:picLocks noChangeAspect="1"/>
        </xdr:cNvPicPr>
      </xdr:nvPicPr>
      <xdr:blipFill>
        <a:blip r:embed="rId178"/>
        <a:stretch>
          <a:fillRect/>
        </a:stretch>
      </xdr:blipFill>
      <xdr:spPr>
        <a:xfrm>
          <a:off x="7181850" y="132739765"/>
          <a:ext cx="4838700" cy="37814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1" name="ID_32C6101625334410BC7AD41598962578"/>
        <xdr:cNvPicPr>
          <a:picLocks noChangeAspect="1"/>
        </xdr:cNvPicPr>
      </xdr:nvPicPr>
      <xdr:blipFill>
        <a:blip r:embed="rId179"/>
        <a:stretch>
          <a:fillRect/>
        </a:stretch>
      </xdr:blipFill>
      <xdr:spPr>
        <a:xfrm>
          <a:off x="5805170" y="153788745"/>
          <a:ext cx="1790700" cy="19812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2" name="ID_021D6DC2FE9E4FEBAFC2D0250FABE61A"/>
        <xdr:cNvPicPr>
          <a:picLocks noChangeAspect="1"/>
        </xdr:cNvPicPr>
      </xdr:nvPicPr>
      <xdr:blipFill>
        <a:blip r:embed="rId180"/>
        <a:stretch>
          <a:fillRect/>
        </a:stretch>
      </xdr:blipFill>
      <xdr:spPr>
        <a:xfrm>
          <a:off x="7317105" y="102247065"/>
          <a:ext cx="5743575" cy="27051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3" name="ID_D2E7142F258847ACB2B06C6CE7669E92"/>
        <xdr:cNvPicPr>
          <a:picLocks noChangeAspect="1"/>
        </xdr:cNvPicPr>
      </xdr:nvPicPr>
      <xdr:blipFill>
        <a:blip r:embed="rId181"/>
        <a:stretch>
          <a:fillRect/>
        </a:stretch>
      </xdr:blipFill>
      <xdr:spPr>
        <a:xfrm>
          <a:off x="5887720" y="155435935"/>
          <a:ext cx="2200275" cy="38862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4" name="ID_FB89EA2752E9428AB5EA116E91849B72"/>
        <xdr:cNvPicPr>
          <a:picLocks noChangeAspect="1"/>
        </xdr:cNvPicPr>
      </xdr:nvPicPr>
      <xdr:blipFill>
        <a:blip r:embed="rId182"/>
        <a:stretch>
          <a:fillRect/>
        </a:stretch>
      </xdr:blipFill>
      <xdr:spPr>
        <a:xfrm>
          <a:off x="5969635" y="154678380"/>
          <a:ext cx="852170" cy="6267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5" name="ID_B927D7694BBD4B87A00EBC741844768A"/>
        <xdr:cNvPicPr>
          <a:picLocks noChangeAspect="1"/>
        </xdr:cNvPicPr>
      </xdr:nvPicPr>
      <xdr:blipFill>
        <a:blip r:embed="rId183"/>
        <a:stretch>
          <a:fillRect/>
        </a:stretch>
      </xdr:blipFill>
      <xdr:spPr>
        <a:xfrm>
          <a:off x="5996940" y="153986230"/>
          <a:ext cx="972185" cy="5746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6" name="ID_36A28634DB97484BAD618E40AF9A99EA"/>
        <xdr:cNvPicPr>
          <a:picLocks noChangeAspect="1"/>
        </xdr:cNvPicPr>
      </xdr:nvPicPr>
      <xdr:blipFill>
        <a:blip r:embed="rId184"/>
        <a:stretch>
          <a:fillRect/>
        </a:stretch>
      </xdr:blipFill>
      <xdr:spPr>
        <a:xfrm>
          <a:off x="7290435" y="153976070"/>
          <a:ext cx="1314450" cy="35369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7" name="ID_80AC05278ED2484D8EF1D90C1B94C10C"/>
        <xdr:cNvPicPr>
          <a:picLocks noChangeAspect="1"/>
        </xdr:cNvPicPr>
      </xdr:nvPicPr>
      <xdr:blipFill>
        <a:blip r:embed="rId185"/>
        <a:stretch>
          <a:fillRect/>
        </a:stretch>
      </xdr:blipFill>
      <xdr:spPr>
        <a:xfrm>
          <a:off x="7317105" y="154760295"/>
          <a:ext cx="1212850" cy="3816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8" name="ID_4D8D81DC3FD64FC4A08708BECA0AA13F"/>
        <xdr:cNvPicPr>
          <a:picLocks noChangeAspect="1"/>
        </xdr:cNvPicPr>
      </xdr:nvPicPr>
      <xdr:blipFill>
        <a:blip r:embed="rId186"/>
        <a:stretch>
          <a:fillRect/>
        </a:stretch>
      </xdr:blipFill>
      <xdr:spPr>
        <a:xfrm>
          <a:off x="6078220" y="155543885"/>
          <a:ext cx="635635" cy="50736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9" name="ID_00D1EB90FC6749E6BD5478C49FAEBB57"/>
        <xdr:cNvPicPr>
          <a:picLocks noChangeAspect="1"/>
        </xdr:cNvPicPr>
      </xdr:nvPicPr>
      <xdr:blipFill>
        <a:blip r:embed="rId187"/>
        <a:stretch>
          <a:fillRect/>
        </a:stretch>
      </xdr:blipFill>
      <xdr:spPr>
        <a:xfrm>
          <a:off x="7371715" y="155489275"/>
          <a:ext cx="812165" cy="6191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0" name="ID_332D433829EF4A299EEEC72FE07BCFA3"/>
        <xdr:cNvPicPr>
          <a:picLocks noChangeAspect="1"/>
        </xdr:cNvPicPr>
      </xdr:nvPicPr>
      <xdr:blipFill>
        <a:blip r:embed="rId188"/>
        <a:stretch>
          <a:fillRect/>
        </a:stretch>
      </xdr:blipFill>
      <xdr:spPr>
        <a:xfrm>
          <a:off x="5920740" y="156599890"/>
          <a:ext cx="1041400" cy="1739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1" name="ID_7C796C410DD749918C814EBBAF7DF56A"/>
        <xdr:cNvPicPr>
          <a:picLocks noChangeAspect="1"/>
        </xdr:cNvPicPr>
      </xdr:nvPicPr>
      <xdr:blipFill>
        <a:blip r:embed="rId189"/>
        <a:stretch>
          <a:fillRect/>
        </a:stretch>
      </xdr:blipFill>
      <xdr:spPr>
        <a:xfrm>
          <a:off x="7399020" y="156477335"/>
          <a:ext cx="1432560" cy="5734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2" name="ID_FBBBA17AA8814FCD899109B65EF347D6"/>
        <xdr:cNvPicPr>
          <a:picLocks noChangeAspect="1"/>
        </xdr:cNvPicPr>
      </xdr:nvPicPr>
      <xdr:blipFill>
        <a:blip r:embed="rId190"/>
        <a:stretch>
          <a:fillRect/>
        </a:stretch>
      </xdr:blipFill>
      <xdr:spPr>
        <a:xfrm>
          <a:off x="6010275" y="96974660"/>
          <a:ext cx="3867150" cy="29241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5" name="ID_965F782136C74D04B7463C09239D032A"/>
        <xdr:cNvPicPr>
          <a:picLocks noChangeAspect="1"/>
        </xdr:cNvPicPr>
      </xdr:nvPicPr>
      <xdr:blipFill>
        <a:blip r:embed="rId191"/>
        <a:stretch>
          <a:fillRect/>
        </a:stretch>
      </xdr:blipFill>
      <xdr:spPr>
        <a:xfrm>
          <a:off x="7303770" y="96934020"/>
          <a:ext cx="4953000" cy="30575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6" name="ID_36F813101232420C81E34E84A9E0978C"/>
        <xdr:cNvPicPr>
          <a:picLocks noChangeAspect="1"/>
        </xdr:cNvPicPr>
      </xdr:nvPicPr>
      <xdr:blipFill>
        <a:blip r:embed="rId192"/>
        <a:stretch>
          <a:fillRect/>
        </a:stretch>
      </xdr:blipFill>
      <xdr:spPr>
        <a:xfrm>
          <a:off x="5996305" y="148008975"/>
          <a:ext cx="3467100" cy="20478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8" name="ID_6334897463394BFE9D0953EB6424C5CA"/>
        <xdr:cNvPicPr>
          <a:picLocks noChangeAspect="1"/>
        </xdr:cNvPicPr>
      </xdr:nvPicPr>
      <xdr:blipFill>
        <a:blip r:embed="rId193"/>
        <a:stretch>
          <a:fillRect/>
        </a:stretch>
      </xdr:blipFill>
      <xdr:spPr>
        <a:xfrm>
          <a:off x="7290435" y="148076285"/>
          <a:ext cx="5276850" cy="3705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0" name="ID_AC227B6340264788A579394B8B568A28"/>
        <xdr:cNvPicPr>
          <a:picLocks noChangeAspect="1"/>
        </xdr:cNvPicPr>
      </xdr:nvPicPr>
      <xdr:blipFill>
        <a:blip r:embed="rId194"/>
        <a:stretch>
          <a:fillRect/>
        </a:stretch>
      </xdr:blipFill>
      <xdr:spPr>
        <a:xfrm>
          <a:off x="6064250" y="76808330"/>
          <a:ext cx="956310" cy="232537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1" name="ID_F1FA514CDA0445B08EBA3F7CBB2AD2EA"/>
        <xdr:cNvPicPr>
          <a:picLocks noChangeAspect="1"/>
        </xdr:cNvPicPr>
      </xdr:nvPicPr>
      <xdr:blipFill>
        <a:blip r:embed="rId195"/>
        <a:stretch>
          <a:fillRect/>
        </a:stretch>
      </xdr:blipFill>
      <xdr:spPr>
        <a:xfrm>
          <a:off x="6022975" y="77960220"/>
          <a:ext cx="1136650" cy="29343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4" name="ID_71E555F357544D858C4CA5C064FB62B6"/>
        <xdr:cNvPicPr>
          <a:picLocks noChangeAspect="1"/>
        </xdr:cNvPicPr>
      </xdr:nvPicPr>
      <xdr:blipFill>
        <a:blip r:embed="rId196"/>
        <a:stretch>
          <a:fillRect/>
        </a:stretch>
      </xdr:blipFill>
      <xdr:spPr>
        <a:xfrm>
          <a:off x="7330440" y="76808965"/>
          <a:ext cx="5133975" cy="3752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5" name="ID_E9E49359866E46A1AF576E4A784B4F62"/>
        <xdr:cNvPicPr>
          <a:picLocks noChangeAspect="1"/>
        </xdr:cNvPicPr>
      </xdr:nvPicPr>
      <xdr:blipFill>
        <a:blip r:embed="rId197"/>
        <a:stretch>
          <a:fillRect/>
        </a:stretch>
      </xdr:blipFill>
      <xdr:spPr>
        <a:xfrm>
          <a:off x="7262495" y="77946250"/>
          <a:ext cx="4981575" cy="3752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04" name="ID_071DE0183EBA47EF95A55A66CA8834E7"/>
        <xdr:cNvPicPr>
          <a:picLocks noChangeAspect="1"/>
        </xdr:cNvPicPr>
      </xdr:nvPicPr>
      <xdr:blipFill>
        <a:blip r:embed="rId198"/>
        <a:stretch>
          <a:fillRect/>
        </a:stretch>
      </xdr:blipFill>
      <xdr:spPr>
        <a:xfrm>
          <a:off x="2668270" y="6562725"/>
          <a:ext cx="4467225" cy="24574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05" name="ID_8229F0B753074CDAB092373CC4A225CC"/>
        <xdr:cNvPicPr>
          <a:picLocks noChangeAspect="1"/>
        </xdr:cNvPicPr>
      </xdr:nvPicPr>
      <xdr:blipFill>
        <a:blip r:embed="rId199"/>
        <a:stretch>
          <a:fillRect/>
        </a:stretch>
      </xdr:blipFill>
      <xdr:spPr>
        <a:xfrm>
          <a:off x="8323580" y="6576060"/>
          <a:ext cx="3848100" cy="2828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06" name="ID_6E18085B50E8439382A84CA567028125"/>
        <xdr:cNvPicPr>
          <a:picLocks noChangeAspect="1"/>
        </xdr:cNvPicPr>
      </xdr:nvPicPr>
      <xdr:blipFill>
        <a:blip r:embed="rId200"/>
        <a:stretch>
          <a:fillRect/>
        </a:stretch>
      </xdr:blipFill>
      <xdr:spPr>
        <a:xfrm>
          <a:off x="5927725" y="79154655"/>
          <a:ext cx="1613535" cy="11264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07" name="ID_4616911EE72B49C2BEB808B43B97DDFF"/>
        <xdr:cNvPicPr>
          <a:picLocks noChangeAspect="1"/>
        </xdr:cNvPicPr>
      </xdr:nvPicPr>
      <xdr:blipFill>
        <a:blip r:embed="rId201"/>
        <a:stretch>
          <a:fillRect/>
        </a:stretch>
      </xdr:blipFill>
      <xdr:spPr>
        <a:xfrm>
          <a:off x="7331075" y="79195930"/>
          <a:ext cx="4486275" cy="302895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<sst xmlns="http://schemas.openxmlformats.org/spreadsheetml/2006/main" count="734" uniqueCount="250">
  <si>
    <t>TOTO洁具年度采购清单</t>
  </si>
  <si>
    <t>序号</t>
  </si>
  <si>
    <t>产品类目</t>
  </si>
  <si>
    <t>品牌</t>
  </si>
  <si>
    <t xml:space="preserve">产品名称
</t>
  </si>
  <si>
    <t>产品型号</t>
  </si>
  <si>
    <t>产品等级</t>
  </si>
  <si>
    <t xml:space="preserve">产品图片
</t>
  </si>
  <si>
    <t>规格尺寸</t>
  </si>
  <si>
    <t>产品参数</t>
  </si>
  <si>
    <t>单位</t>
  </si>
  <si>
    <t>数量</t>
  </si>
  <si>
    <t>单价限价
（元/m²）</t>
  </si>
  <si>
    <t>单价（元）</t>
  </si>
  <si>
    <t>总价（元）</t>
  </si>
  <si>
    <t>坐便器</t>
  </si>
  <si>
    <t>TOTO</t>
  </si>
  <si>
    <t>全智能坐便器</t>
  </si>
  <si>
    <t>CES8D210MCN</t>
  </si>
  <si>
    <t>优等品</t>
  </si>
  <si>
    <t>1.功能：双重高效冲洗系统, 喷嘴自清洁, 臀部洗净, 臀部轻柔洗净, 下身洗净, 下身护理洗净, 摆动洗净, 按摩洗净, 洁净材质, 自动节电, 柔光照明, 洗净位置调节, 水势调节, 停电手动冲洗, 一键装卸, 定时节电
2.坑距：305/400mm 
3.其他：</t>
  </si>
  <si>
    <t>套</t>
  </si>
  <si>
    <t>CES7J110MCN</t>
  </si>
  <si>
    <t>CES7H110MCN</t>
  </si>
  <si>
    <t>1.功能：喷嘴自清洁, 臀部洗净, 臀部轻柔洗净, 下身洗净, 摆动洗净, 按摩洗净, 洁净材质, 自动节电, 洗净位置调节, 水势调节, 停电手动冲洗
2.坑距：305/400mm 
3.其他：</t>
  </si>
  <si>
    <t>壁挂式全智能坐便器</t>
  </si>
  <si>
    <t>CES802CS</t>
  </si>
  <si>
    <t>1.功能：喷嘴自清洁, 臀部洗净, 臀部轻柔洗净, 下身洗净, 摆动洗净, 按摩洗净, 洁净材质, 自动节电, 柔光照明, 洗净位置调节, 水势调节, 一键装卸
2.其他：</t>
  </si>
  <si>
    <t>轻智能坐便器</t>
  </si>
  <si>
    <t>CES7B210MCN</t>
  </si>
  <si>
    <t>1.功能：自动冲洗、自动便盖开启、保温便盖功能
2.坑距：305/400mm
3.其他</t>
  </si>
  <si>
    <t>CES7B010MCN</t>
  </si>
  <si>
    <t>1.功能：自动冲洗、保温便盖功能
2.坑距：305/400mm
3.其他</t>
  </si>
  <si>
    <t>连体坐便器</t>
  </si>
  <si>
    <t>CW923SEB</t>
  </si>
  <si>
    <t>1.釉面：智洁釉面                                   2.按键：侧键按钮3.8L冲洗 
3.水效：1级
4.盖板材质：PP材质
5.冲洗方式：喷射虹吸式                       6.坑距范围：305/400mm 
7.其他：</t>
  </si>
  <si>
    <t>CW188SEB</t>
  </si>
  <si>
    <t>1.釉面：智洁釉面                                 2.按键：侧键按钮3.8L冲洗 
3.水效：1级
4.盖板材质：PP材质
5.冲洗方式：喷射虹吸式                      6.坑距范围：305/400mm 
7.其他：</t>
  </si>
  <si>
    <t>CW977REB</t>
  </si>
  <si>
    <t>1.釉面：智洁釉面                                2.按键：顶按双键3.0/4.5L双档冲洗 
3.水效：1级
4.盖板材质：PP材质
5.冲洗方式：超漩式                            6.坑距：305/400mm 
7.其他：</t>
  </si>
  <si>
    <t>CW817REB</t>
  </si>
  <si>
    <t>1.釉面:智洁釉面
2.盖板材质：PP材质
3.坑距：305mm
4.其他</t>
  </si>
  <si>
    <t>孚朗明</t>
  </si>
  <si>
    <t>坐便器安装三件套（辅材）</t>
  </si>
  <si>
    <t>用于坐便器安装使用</t>
  </si>
  <si>
    <t>蹲便器</t>
  </si>
  <si>
    <t>CW7RB</t>
  </si>
  <si>
    <t>1.釉面:智洁釉面                                      2.排水坑距:后进后排出
3.是否带s弯:带s弯
4.其他</t>
  </si>
  <si>
    <t>方形蹲便器</t>
  </si>
  <si>
    <t>CW11B</t>
  </si>
  <si>
    <t>1.釉面:智洁釉面                                       2.排水坑距:后进前排
3.是否带s弯:带s弯
4.其他</t>
  </si>
  <si>
    <t>小便斗</t>
  </si>
  <si>
    <t>壁挂式感应一体小便斗</t>
  </si>
  <si>
    <t>USWN900BE</t>
  </si>
  <si>
    <t>1.釉面：智洁釉面
2.给排水方式：后进墙排
3.用水量：0.5L                                    4.是否感应一体：是                               5.电源方式：交流
6.其他</t>
  </si>
  <si>
    <t>USWN925BE</t>
  </si>
  <si>
    <t>1.釉面：智洁釉面
2.给排水方式：后进墙排
3.用水量：0.5L                                    4.是否感应一体：是                             5.电源方式：交流
6.其他</t>
  </si>
  <si>
    <t>壁挂式小便斗</t>
  </si>
  <si>
    <t>UWN901HB</t>
  </si>
  <si>
    <t>1.釉面:智洁釉面
2.给排水方式：后进墙排
3.用水量：以搭配感应器为准
4.其他</t>
  </si>
  <si>
    <t>UWN557HB</t>
  </si>
  <si>
    <t>UWN180HB</t>
  </si>
  <si>
    <t>UW103RHB</t>
  </si>
  <si>
    <t>落地式小便斗</t>
  </si>
  <si>
    <t>UWN508HB</t>
  </si>
  <si>
    <t>1.釉面:智洁釉面
2.给排水方式：后进地排
3.用水量：以搭配感应器为准
4.其他</t>
  </si>
  <si>
    <t>花洒</t>
  </si>
  <si>
    <t>恒温淋浴柱</t>
  </si>
  <si>
    <t>TBW08405C</t>
  </si>
  <si>
    <t>1.恒温功能：三出水（顶喷+手持+本体龙头）,需配手持花洒及手持软管</t>
  </si>
  <si>
    <t>TBW01401C</t>
  </si>
  <si>
    <t>1.恒温功能：三出水（顶喷+手持+本体龙头），需配手持花洒及手持软管</t>
  </si>
  <si>
    <t>TBW12410C</t>
  </si>
  <si>
    <t>TBW11460C</t>
  </si>
  <si>
    <t>淋浴柱</t>
  </si>
  <si>
    <t>TBW13050C2</t>
  </si>
  <si>
    <t>1.普通功能：三出水（顶喷+手持+本体龙头），需配手持花洒+手持软管+淋浴龙头</t>
  </si>
  <si>
    <t>淋浴本体</t>
  </si>
  <si>
    <t>TBS06302C</t>
  </si>
  <si>
    <t>1.材质：青铜
2.表面颜色：铬色</t>
  </si>
  <si>
    <t>TBS06301C</t>
  </si>
  <si>
    <t>手持软管</t>
  </si>
  <si>
    <t>TBW01027C</t>
  </si>
  <si>
    <t xml:space="preserve">1.材质：橡胶
2.长度：1617mm
</t>
  </si>
  <si>
    <t>TBW01026C</t>
  </si>
  <si>
    <t xml:space="preserve">1.材质：金属
2.长度：1617mm
</t>
  </si>
  <si>
    <t>手持花洒</t>
  </si>
  <si>
    <t>TBW09000C1</t>
  </si>
  <si>
    <t>1.单功能手持花洒 
2.软管另配</t>
  </si>
  <si>
    <t>TBW09010C1</t>
  </si>
  <si>
    <t>1.三功能手持花洒 
2.软管另配</t>
  </si>
  <si>
    <t>TBW01020C</t>
  </si>
  <si>
    <t>TBW02015C</t>
  </si>
  <si>
    <t>TBW07009C</t>
  </si>
  <si>
    <t xml:space="preserve">1.三功能手持花洒 
</t>
  </si>
  <si>
    <t>顶置花洒</t>
  </si>
  <si>
    <t>TBW08002C1</t>
  </si>
  <si>
    <t>1.材质：黄铜
2.外观颜色：铬色
3.其他</t>
  </si>
  <si>
    <t>TBW07002C1</t>
  </si>
  <si>
    <t>TBW10030C1</t>
  </si>
  <si>
    <t>TBW10010C1</t>
  </si>
  <si>
    <t>升降杆</t>
  </si>
  <si>
    <t>TBW07019C</t>
  </si>
  <si>
    <t>1.可移动式花洒支架，随意调节花洒高度</t>
  </si>
  <si>
    <t>TBW01016B</t>
  </si>
  <si>
    <t>恒温控制阀</t>
  </si>
  <si>
    <t>TBV02406B+TBN01001C</t>
  </si>
  <si>
    <t>1.材质：黄铜
2.恒温记忆阀芯
3.外观颜色:铬色
4.按钮式开关</t>
  </si>
  <si>
    <t>控制阀</t>
  </si>
  <si>
    <t>DB359R</t>
  </si>
  <si>
    <t>1.材质：黄铜
2.外观颜色：铬色</t>
  </si>
  <si>
    <t>TBS04304B</t>
  </si>
  <si>
    <t>花洒固定连接件</t>
  </si>
  <si>
    <t>TBW08009C</t>
  </si>
  <si>
    <t>埋墙式淋浴头本体</t>
  </si>
  <si>
    <t>TBW07020C</t>
  </si>
  <si>
    <t>龙头</t>
  </si>
  <si>
    <t>感应龙头</t>
  </si>
  <si>
    <t>TLE27001C1+TLE01501B</t>
  </si>
  <si>
    <t>1.感应方式：红外感应
2.电源：交流
3.表面颜色：铬色
4.材质：青铜+树脂
5.其他：进口陶瓷阀芯</t>
  </si>
  <si>
    <t>TLE28001C1/TLE01501B</t>
  </si>
  <si>
    <t>感应龙头恒温阀</t>
  </si>
  <si>
    <t>TLE05701B</t>
  </si>
  <si>
    <t>搭配感应龙头使用</t>
  </si>
  <si>
    <t>混合龙头</t>
  </si>
  <si>
    <t>DL352R</t>
  </si>
  <si>
    <t>1.材质：青铜
2.阀芯：陶瓷阀芯
3.表面颜色：铬色
4.其他：自带提拉排水金具、30公分软管</t>
  </si>
  <si>
    <t>TLS06301C</t>
  </si>
  <si>
    <t>1.材质：青铜+锌合金
2.阀芯：陶瓷阀芯
3.表面颜色：铬色
4.其他：自带提拉排水金具、30公分软管</t>
  </si>
  <si>
    <t>TLS06305C</t>
  </si>
  <si>
    <t>TLG13301C</t>
  </si>
  <si>
    <t>TLG13305C</t>
  </si>
  <si>
    <t>抽拉混合龙头</t>
  </si>
  <si>
    <t>TLS093B0C</t>
  </si>
  <si>
    <t>1.材质：青铜+锌合金
2.阀芯：陶瓷阀芯
3.表面颜色：铬色
4.抽拉式</t>
  </si>
  <si>
    <t>TLS073J0C</t>
  </si>
  <si>
    <t>TLS083J0C</t>
  </si>
  <si>
    <t>入墙式混合龙头</t>
  </si>
  <si>
    <t>TLS06308C+TLN113G0C</t>
  </si>
  <si>
    <t>1.材质：青铜+锌合金
2.阀芯：陶瓷阀芯
3.表面颜色：铬色</t>
  </si>
  <si>
    <t>TLG13308C+TLN103G0C</t>
  </si>
  <si>
    <t>TLS01310B</t>
  </si>
  <si>
    <t>1.材质：青铜
2.阀芯：陶瓷阀芯
3.表面颜色：铬色</t>
  </si>
  <si>
    <t>独立浴缸龙头</t>
  </si>
  <si>
    <t>DM334CFS</t>
  </si>
  <si>
    <t>1.功能：两功能出水
2.材质：青铜
3.其他</t>
  </si>
  <si>
    <t>DM359CFR</t>
  </si>
  <si>
    <t>浴缸龙头</t>
  </si>
  <si>
    <t>TBS01202C</t>
  </si>
  <si>
    <t>TBG13202C</t>
  </si>
  <si>
    <t>厨房龙头</t>
  </si>
  <si>
    <t>DK307-1AR</t>
  </si>
  <si>
    <t>1.材质：青铜
2.阀芯：陶瓷阀芯
3.表面颜色：铬色
4.其他：自带30公分软管</t>
  </si>
  <si>
    <t>拖把池龙头</t>
  </si>
  <si>
    <t>DBS105S</t>
  </si>
  <si>
    <t>洗衣机龙头</t>
  </si>
  <si>
    <t>D103N</t>
  </si>
  <si>
    <t>三角阀（辅材）</t>
  </si>
  <si>
    <t>FL103</t>
  </si>
  <si>
    <t>用于龙头使用</t>
  </si>
  <si>
    <t>台盆</t>
  </si>
  <si>
    <t>方形台下盆</t>
  </si>
  <si>
    <t>LW596RB</t>
  </si>
  <si>
    <t>1.釉面：智洁釉面
2.是否有溢流孔：有</t>
  </si>
  <si>
    <t>LW1536B</t>
  </si>
  <si>
    <t>椭圆形台下盆</t>
  </si>
  <si>
    <t>LW546B</t>
  </si>
  <si>
    <t>LW537RB</t>
  </si>
  <si>
    <t>方形台上盆</t>
  </si>
  <si>
    <t>LW709RCB</t>
  </si>
  <si>
    <t>LW5715B</t>
  </si>
  <si>
    <t>圆形嵌入式面盆</t>
  </si>
  <si>
    <t>LW533JUB</t>
  </si>
  <si>
    <t>方形嵌入式面盆</t>
  </si>
  <si>
    <t>LW1315CB</t>
  </si>
  <si>
    <t>立柱盆</t>
  </si>
  <si>
    <t>LWN251CB/LWN220FRB</t>
  </si>
  <si>
    <t>直板式排水（辅材）</t>
  </si>
  <si>
    <t>DN010</t>
  </si>
  <si>
    <t>用于面盆使用</t>
  </si>
  <si>
    <t>弹跳式排水（辅材）</t>
  </si>
  <si>
    <t>DN023</t>
  </si>
  <si>
    <t>面盆排水管（辅材）</t>
  </si>
  <si>
    <t>DL501P2S</t>
  </si>
  <si>
    <t>不锈钢材质，用于台盆使用</t>
  </si>
  <si>
    <t>FL1003 2231</t>
  </si>
  <si>
    <t>树脂材质，用于台盆使用</t>
  </si>
  <si>
    <t>水槽</t>
  </si>
  <si>
    <t>拖布池</t>
  </si>
  <si>
    <t>拖把池</t>
  </si>
  <si>
    <t>SKW322B/SKW322FB</t>
  </si>
  <si>
    <t>1.分体式 
2.下水孔规格：排水金具配套包含
3.其他</t>
  </si>
  <si>
    <t>拖把池排水管（辅材）</t>
  </si>
  <si>
    <t>FL1004 2362</t>
  </si>
  <si>
    <t>用于拖把池使用</t>
  </si>
  <si>
    <t>浴缸</t>
  </si>
  <si>
    <t>压克力浴缸</t>
  </si>
  <si>
    <t>PAY1717CPTN</t>
  </si>
  <si>
    <t>1.材质：压克力</t>
  </si>
  <si>
    <t>晶雅浴缸</t>
  </si>
  <si>
    <t>PJY1814HPW</t>
  </si>
  <si>
    <t>1.材质：人造石</t>
  </si>
  <si>
    <t>PAY17A0HP/DB505R-2B</t>
  </si>
  <si>
    <t>PAY1580HP/DB505R-2B</t>
  </si>
  <si>
    <t>感应器</t>
  </si>
  <si>
    <t>小便感应器</t>
  </si>
  <si>
    <t>DUE114UPEC</t>
  </si>
  <si>
    <t>1.感应方式:红外感应          
2.电源方式：交流
3.面板材质：树脂                                4.搭配的小便斗：分体通配
5.其他</t>
  </si>
  <si>
    <t>蹲便感应器</t>
  </si>
  <si>
    <t>TREF85U2CA</t>
  </si>
  <si>
    <t>1.感应方式：红外感应            
2.电源方式：交流电
3.面板材质：304不锈钢，本体青铜                  4.感应、手动双控
5..搭配蹲便器</t>
  </si>
  <si>
    <t>小便器连接软管（辅材）</t>
  </si>
  <si>
    <t>FL1201 2814</t>
  </si>
  <si>
    <t>用于小便感应器使用</t>
  </si>
  <si>
    <t>脚踏冲洗阀</t>
  </si>
  <si>
    <t>DC603VLFC</t>
  </si>
  <si>
    <t>脚踏式蹲便器冲洗阀，无需手动操作，避免交叉感染
冲洗阀式产品，免去了水箱蓄水的时间，可连续使用，适合于公共场所
黄铜材质，耐腐蚀性强</t>
  </si>
  <si>
    <t>手动冲洗阀</t>
  </si>
  <si>
    <t>DC603VLC</t>
  </si>
  <si>
    <t>冲洗水量满足节水要求。
低水压下止水性能优良</t>
  </si>
  <si>
    <t>地漏</t>
  </si>
  <si>
    <t>长方形地漏</t>
  </si>
  <si>
    <t>DSFD71</t>
  </si>
  <si>
    <t>防臭，隔虫，便于清扫。
采用全铜制造。
DN50</t>
  </si>
  <si>
    <t>正方形地漏</t>
  </si>
  <si>
    <t>DSFD70</t>
  </si>
  <si>
    <t>DSFD01</t>
  </si>
  <si>
    <t>浴室柜</t>
  </si>
  <si>
    <t>LBEA080MW+LW848CB+DZ705+TLG12303B</t>
  </si>
  <si>
    <t>LBEA090MD+LW849CB+DZ705+TLG12303B</t>
  </si>
  <si>
    <t>挂件</t>
  </si>
  <si>
    <t>衣钩</t>
  </si>
  <si>
    <t>YRH408C</t>
  </si>
  <si>
    <t>卷纸器</t>
  </si>
  <si>
    <t>YH408RC</t>
  </si>
  <si>
    <t>双档卷纸器</t>
  </si>
  <si>
    <t>YH600FMRC</t>
  </si>
  <si>
    <t>#NW1：白色
#EL：浅木纹色
#MW：木纹色</t>
  </si>
  <si>
    <t>浴巾架</t>
  </si>
  <si>
    <t>YTS408BC</t>
  </si>
  <si>
    <t>毛巾架</t>
  </si>
  <si>
    <t>YT408S4RC</t>
  </si>
  <si>
    <t>烘手器</t>
  </si>
  <si>
    <t>多功能烘手器</t>
  </si>
  <si>
    <t>TYC603P</t>
  </si>
  <si>
    <t>手纸箱+烘手器+废纸箱三合一功能</t>
  </si>
  <si>
    <t>高速烘手器哦</t>
  </si>
  <si>
    <t>TYC123W</t>
  </si>
  <si>
    <t>采用PTC加热器,加热快,寿命长。
干燥时间短、噪音低。
消耗低、节能环保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</si>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</sst>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8"/>
      <color theme="1"/>
      <name val="黑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31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wrapText="1"/>
    </xf>
    <xf numFmtId="0" fontId="0" fillId="0" borderId="0" xfId="0" applyFill="1"/>
    <xf numFmtId="0" fontId="0" fillId="0" borderId="0" xfId="0" applyFill="1" applyAlignment="1">
      <alignment horizontal="left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 applyProtection="1">
      <alignment horizontal="center" vertical="center"/>
      <protection locked="0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 applyProtection="1">
      <alignment horizontal="center" vertical="center"/>
      <protection locked="0"/>
    </xf>
    <xf numFmtId="0" fontId="3" fillId="0" borderId="2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9" Type="http://schemas.openxmlformats.org/officeDocument/2006/relationships/image" Target="media/image100.png"/><Relationship Id="rId98" Type="http://schemas.openxmlformats.org/officeDocument/2006/relationships/image" Target="media/image99.png"/><Relationship Id="rId97" Type="http://schemas.openxmlformats.org/officeDocument/2006/relationships/image" Target="media/image98.png"/><Relationship Id="rId96" Type="http://schemas.openxmlformats.org/officeDocument/2006/relationships/image" Target="media/image97.png"/><Relationship Id="rId95" Type="http://schemas.openxmlformats.org/officeDocument/2006/relationships/image" Target="media/image96.png"/><Relationship Id="rId94" Type="http://schemas.openxmlformats.org/officeDocument/2006/relationships/image" Target="media/image95.png"/><Relationship Id="rId93" Type="http://schemas.openxmlformats.org/officeDocument/2006/relationships/image" Target="media/image94.png"/><Relationship Id="rId92" Type="http://schemas.openxmlformats.org/officeDocument/2006/relationships/image" Target="media/image93.png"/><Relationship Id="rId91" Type="http://schemas.openxmlformats.org/officeDocument/2006/relationships/image" Target="media/image92.png"/><Relationship Id="rId90" Type="http://schemas.openxmlformats.org/officeDocument/2006/relationships/image" Target="media/image91.png"/><Relationship Id="rId9" Type="http://schemas.openxmlformats.org/officeDocument/2006/relationships/image" Target="media/image10.png"/><Relationship Id="rId89" Type="http://schemas.openxmlformats.org/officeDocument/2006/relationships/image" Target="media/image90.png"/><Relationship Id="rId88" Type="http://schemas.openxmlformats.org/officeDocument/2006/relationships/image" Target="media/image89.png"/><Relationship Id="rId87" Type="http://schemas.openxmlformats.org/officeDocument/2006/relationships/image" Target="media/image88.png"/><Relationship Id="rId86" Type="http://schemas.openxmlformats.org/officeDocument/2006/relationships/image" Target="media/image87.png"/><Relationship Id="rId85" Type="http://schemas.openxmlformats.org/officeDocument/2006/relationships/image" Target="media/image86.png"/><Relationship Id="rId84" Type="http://schemas.openxmlformats.org/officeDocument/2006/relationships/image" Target="media/image85.png"/><Relationship Id="rId83" Type="http://schemas.openxmlformats.org/officeDocument/2006/relationships/image" Target="media/image84.png"/><Relationship Id="rId82" Type="http://schemas.openxmlformats.org/officeDocument/2006/relationships/image" Target="media/image83.png"/><Relationship Id="rId81" Type="http://schemas.openxmlformats.org/officeDocument/2006/relationships/image" Target="media/image82.png"/><Relationship Id="rId80" Type="http://schemas.openxmlformats.org/officeDocument/2006/relationships/image" Target="media/image81.png"/><Relationship Id="rId8" Type="http://schemas.openxmlformats.org/officeDocument/2006/relationships/image" Target="media/image9.png"/><Relationship Id="rId79" Type="http://schemas.openxmlformats.org/officeDocument/2006/relationships/image" Target="media/image80.png"/><Relationship Id="rId78" Type="http://schemas.openxmlformats.org/officeDocument/2006/relationships/image" Target="media/image79.png"/><Relationship Id="rId77" Type="http://schemas.openxmlformats.org/officeDocument/2006/relationships/image" Target="media/image78.png"/><Relationship Id="rId76" Type="http://schemas.openxmlformats.org/officeDocument/2006/relationships/image" Target="media/image77.png"/><Relationship Id="rId75" Type="http://schemas.openxmlformats.org/officeDocument/2006/relationships/image" Target="media/image76.png"/><Relationship Id="rId74" Type="http://schemas.openxmlformats.org/officeDocument/2006/relationships/image" Target="media/image75.png"/><Relationship Id="rId73" Type="http://schemas.openxmlformats.org/officeDocument/2006/relationships/image" Target="media/image74.png"/><Relationship Id="rId72" Type="http://schemas.openxmlformats.org/officeDocument/2006/relationships/image" Target="media/image73.png"/><Relationship Id="rId71" Type="http://schemas.openxmlformats.org/officeDocument/2006/relationships/image" Target="media/image72.png"/><Relationship Id="rId70" Type="http://schemas.openxmlformats.org/officeDocument/2006/relationships/image" Target="media/image71.png"/><Relationship Id="rId7" Type="http://schemas.openxmlformats.org/officeDocument/2006/relationships/image" Target="media/image8.png"/><Relationship Id="rId69" Type="http://schemas.openxmlformats.org/officeDocument/2006/relationships/image" Target="media/image70.png"/><Relationship Id="rId68" Type="http://schemas.openxmlformats.org/officeDocument/2006/relationships/image" Target="media/image69.png"/><Relationship Id="rId67" Type="http://schemas.openxmlformats.org/officeDocument/2006/relationships/image" Target="media/image68.png"/><Relationship Id="rId66" Type="http://schemas.openxmlformats.org/officeDocument/2006/relationships/image" Target="media/image67.png"/><Relationship Id="rId65" Type="http://schemas.openxmlformats.org/officeDocument/2006/relationships/image" Target="media/image66.png"/><Relationship Id="rId64" Type="http://schemas.openxmlformats.org/officeDocument/2006/relationships/image" Target="media/image65.png"/><Relationship Id="rId63" Type="http://schemas.openxmlformats.org/officeDocument/2006/relationships/image" Target="media/image64.png"/><Relationship Id="rId62" Type="http://schemas.openxmlformats.org/officeDocument/2006/relationships/image" Target="media/image63.png"/><Relationship Id="rId61" Type="http://schemas.openxmlformats.org/officeDocument/2006/relationships/image" Target="media/image62.png"/><Relationship Id="rId60" Type="http://schemas.openxmlformats.org/officeDocument/2006/relationships/image" Target="media/image61.png"/><Relationship Id="rId6" Type="http://schemas.openxmlformats.org/officeDocument/2006/relationships/image" Target="media/image7.png"/><Relationship Id="rId59" Type="http://schemas.openxmlformats.org/officeDocument/2006/relationships/image" Target="media/image60.png"/><Relationship Id="rId58" Type="http://schemas.openxmlformats.org/officeDocument/2006/relationships/image" Target="media/image59.png"/><Relationship Id="rId57" Type="http://schemas.openxmlformats.org/officeDocument/2006/relationships/image" Target="media/image58.png"/><Relationship Id="rId56" Type="http://schemas.openxmlformats.org/officeDocument/2006/relationships/image" Target="media/image57.png"/><Relationship Id="rId55" Type="http://schemas.openxmlformats.org/officeDocument/2006/relationships/image" Target="media/image56.png"/><Relationship Id="rId54" Type="http://schemas.openxmlformats.org/officeDocument/2006/relationships/image" Target="media/image55.png"/><Relationship Id="rId53" Type="http://schemas.openxmlformats.org/officeDocument/2006/relationships/image" Target="media/image54.png"/><Relationship Id="rId52" Type="http://schemas.openxmlformats.org/officeDocument/2006/relationships/image" Target="media/image53.png"/><Relationship Id="rId51" Type="http://schemas.openxmlformats.org/officeDocument/2006/relationships/image" Target="media/image52.png"/><Relationship Id="rId50" Type="http://schemas.openxmlformats.org/officeDocument/2006/relationships/image" Target="media/image51.png"/><Relationship Id="rId5" Type="http://schemas.openxmlformats.org/officeDocument/2006/relationships/image" Target="media/image6.png"/><Relationship Id="rId49" Type="http://schemas.openxmlformats.org/officeDocument/2006/relationships/image" Target="media/image50.png"/><Relationship Id="rId48" Type="http://schemas.openxmlformats.org/officeDocument/2006/relationships/image" Target="media/image49.png"/><Relationship Id="rId47" Type="http://schemas.openxmlformats.org/officeDocument/2006/relationships/image" Target="media/image48.png"/><Relationship Id="rId46" Type="http://schemas.openxmlformats.org/officeDocument/2006/relationships/image" Target="media/image47.png"/><Relationship Id="rId45" Type="http://schemas.openxmlformats.org/officeDocument/2006/relationships/image" Target="media/image46.png"/><Relationship Id="rId44" Type="http://schemas.openxmlformats.org/officeDocument/2006/relationships/image" Target="media/image45.png"/><Relationship Id="rId43" Type="http://schemas.openxmlformats.org/officeDocument/2006/relationships/image" Target="media/image44.png"/><Relationship Id="rId42" Type="http://schemas.openxmlformats.org/officeDocument/2006/relationships/image" Target="media/image43.png"/><Relationship Id="rId41" Type="http://schemas.openxmlformats.org/officeDocument/2006/relationships/image" Target="media/image42.png"/><Relationship Id="rId40" Type="http://schemas.openxmlformats.org/officeDocument/2006/relationships/image" Target="media/image41.png"/><Relationship Id="rId4" Type="http://schemas.openxmlformats.org/officeDocument/2006/relationships/image" Target="media/image5.png"/><Relationship Id="rId39" Type="http://schemas.openxmlformats.org/officeDocument/2006/relationships/image" Target="media/image40.png"/><Relationship Id="rId38" Type="http://schemas.openxmlformats.org/officeDocument/2006/relationships/image" Target="media/image39.png"/><Relationship Id="rId37" Type="http://schemas.openxmlformats.org/officeDocument/2006/relationships/image" Target="media/image38.png"/><Relationship Id="rId36" Type="http://schemas.openxmlformats.org/officeDocument/2006/relationships/image" Target="media/image37.png"/><Relationship Id="rId35" Type="http://schemas.openxmlformats.org/officeDocument/2006/relationships/image" Target="media/image36.png"/><Relationship Id="rId34" Type="http://schemas.openxmlformats.org/officeDocument/2006/relationships/image" Target="media/image35.png"/><Relationship Id="rId33" Type="http://schemas.openxmlformats.org/officeDocument/2006/relationships/image" Target="media/image34.png"/><Relationship Id="rId32" Type="http://schemas.openxmlformats.org/officeDocument/2006/relationships/image" Target="media/image33.png"/><Relationship Id="rId31" Type="http://schemas.openxmlformats.org/officeDocument/2006/relationships/image" Target="media/image32.png"/><Relationship Id="rId30" Type="http://schemas.openxmlformats.org/officeDocument/2006/relationships/image" Target="media/image31.png"/><Relationship Id="rId3" Type="http://schemas.openxmlformats.org/officeDocument/2006/relationships/image" Target="media/image4.png"/><Relationship Id="rId29" Type="http://schemas.openxmlformats.org/officeDocument/2006/relationships/image" Target="media/image30.png"/><Relationship Id="rId28" Type="http://schemas.openxmlformats.org/officeDocument/2006/relationships/image" Target="media/image29.png"/><Relationship Id="rId27" Type="http://schemas.openxmlformats.org/officeDocument/2006/relationships/image" Target="media/image28.png"/><Relationship Id="rId26" Type="http://schemas.openxmlformats.org/officeDocument/2006/relationships/image" Target="media/image27.png"/><Relationship Id="rId25" Type="http://schemas.openxmlformats.org/officeDocument/2006/relationships/image" Target="media/image26.png"/><Relationship Id="rId24" Type="http://schemas.openxmlformats.org/officeDocument/2006/relationships/image" Target="media/image25.png"/><Relationship Id="rId23" Type="http://schemas.openxmlformats.org/officeDocument/2006/relationships/image" Target="media/image24.png"/><Relationship Id="rId22" Type="http://schemas.openxmlformats.org/officeDocument/2006/relationships/image" Target="media/image23.png"/><Relationship Id="rId21" Type="http://schemas.openxmlformats.org/officeDocument/2006/relationships/image" Target="media/image22.png"/><Relationship Id="rId201" Type="http://schemas.openxmlformats.org/officeDocument/2006/relationships/image" Target="media/image202.png"/><Relationship Id="rId200" Type="http://schemas.openxmlformats.org/officeDocument/2006/relationships/image" Target="media/image201.png"/><Relationship Id="rId20" Type="http://schemas.openxmlformats.org/officeDocument/2006/relationships/image" Target="media/image21.png"/><Relationship Id="rId2" Type="http://schemas.openxmlformats.org/officeDocument/2006/relationships/image" Target="media/image3.png"/><Relationship Id="rId199" Type="http://schemas.openxmlformats.org/officeDocument/2006/relationships/image" Target="media/image200.png"/><Relationship Id="rId198" Type="http://schemas.openxmlformats.org/officeDocument/2006/relationships/image" Target="media/image199.png"/><Relationship Id="rId197" Type="http://schemas.openxmlformats.org/officeDocument/2006/relationships/image" Target="media/image198.png"/><Relationship Id="rId196" Type="http://schemas.openxmlformats.org/officeDocument/2006/relationships/image" Target="media/image197.png"/><Relationship Id="rId195" Type="http://schemas.openxmlformats.org/officeDocument/2006/relationships/image" Target="media/image196.png"/><Relationship Id="rId194" Type="http://schemas.openxmlformats.org/officeDocument/2006/relationships/image" Target="media/image195.png"/><Relationship Id="rId193" Type="http://schemas.openxmlformats.org/officeDocument/2006/relationships/image" Target="media/image194.png"/><Relationship Id="rId192" Type="http://schemas.openxmlformats.org/officeDocument/2006/relationships/image" Target="media/image193.png"/><Relationship Id="rId191" Type="http://schemas.openxmlformats.org/officeDocument/2006/relationships/image" Target="media/image192.png"/><Relationship Id="rId190" Type="http://schemas.openxmlformats.org/officeDocument/2006/relationships/image" Target="media/image191.png"/><Relationship Id="rId19" Type="http://schemas.openxmlformats.org/officeDocument/2006/relationships/image" Target="media/image20.png"/><Relationship Id="rId189" Type="http://schemas.openxmlformats.org/officeDocument/2006/relationships/image" Target="media/image190.png"/><Relationship Id="rId188" Type="http://schemas.openxmlformats.org/officeDocument/2006/relationships/image" Target="media/image189.png"/><Relationship Id="rId187" Type="http://schemas.openxmlformats.org/officeDocument/2006/relationships/image" Target="media/image188.png"/><Relationship Id="rId186" Type="http://schemas.openxmlformats.org/officeDocument/2006/relationships/image" Target="media/image187.png"/><Relationship Id="rId185" Type="http://schemas.openxmlformats.org/officeDocument/2006/relationships/image" Target="media/image186.png"/><Relationship Id="rId184" Type="http://schemas.openxmlformats.org/officeDocument/2006/relationships/image" Target="media/image185.png"/><Relationship Id="rId183" Type="http://schemas.openxmlformats.org/officeDocument/2006/relationships/image" Target="media/image184.png"/><Relationship Id="rId182" Type="http://schemas.openxmlformats.org/officeDocument/2006/relationships/image" Target="media/image183.png"/><Relationship Id="rId181" Type="http://schemas.openxmlformats.org/officeDocument/2006/relationships/image" Target="media/image182.png"/><Relationship Id="rId180" Type="http://schemas.openxmlformats.org/officeDocument/2006/relationships/image" Target="media/image181.png"/><Relationship Id="rId18" Type="http://schemas.openxmlformats.org/officeDocument/2006/relationships/image" Target="media/image19.png"/><Relationship Id="rId179" Type="http://schemas.openxmlformats.org/officeDocument/2006/relationships/image" Target="media/image180.png"/><Relationship Id="rId178" Type="http://schemas.openxmlformats.org/officeDocument/2006/relationships/image" Target="media/image179.png"/><Relationship Id="rId177" Type="http://schemas.openxmlformats.org/officeDocument/2006/relationships/image" Target="media/image178.png"/><Relationship Id="rId176" Type="http://schemas.openxmlformats.org/officeDocument/2006/relationships/image" Target="media/image177.png"/><Relationship Id="rId175" Type="http://schemas.openxmlformats.org/officeDocument/2006/relationships/image" Target="media/image176.png"/><Relationship Id="rId174" Type="http://schemas.openxmlformats.org/officeDocument/2006/relationships/image" Target="media/image175.png"/><Relationship Id="rId173" Type="http://schemas.openxmlformats.org/officeDocument/2006/relationships/image" Target="media/image174.png"/><Relationship Id="rId172" Type="http://schemas.openxmlformats.org/officeDocument/2006/relationships/image" Target="media/image173.png"/><Relationship Id="rId171" Type="http://schemas.openxmlformats.org/officeDocument/2006/relationships/image" Target="media/image172.png"/><Relationship Id="rId170" Type="http://schemas.openxmlformats.org/officeDocument/2006/relationships/image" Target="media/image171.png"/><Relationship Id="rId17" Type="http://schemas.openxmlformats.org/officeDocument/2006/relationships/image" Target="media/image18.png"/><Relationship Id="rId169" Type="http://schemas.openxmlformats.org/officeDocument/2006/relationships/image" Target="media/image170.png"/><Relationship Id="rId168" Type="http://schemas.openxmlformats.org/officeDocument/2006/relationships/image" Target="media/image169.png"/><Relationship Id="rId167" Type="http://schemas.openxmlformats.org/officeDocument/2006/relationships/image" Target="media/image168.png"/><Relationship Id="rId166" Type="http://schemas.openxmlformats.org/officeDocument/2006/relationships/image" Target="media/image167.png"/><Relationship Id="rId165" Type="http://schemas.openxmlformats.org/officeDocument/2006/relationships/image" Target="media/image166.png"/><Relationship Id="rId164" Type="http://schemas.openxmlformats.org/officeDocument/2006/relationships/image" Target="media/image165.png"/><Relationship Id="rId163" Type="http://schemas.openxmlformats.org/officeDocument/2006/relationships/image" Target="media/image164.png"/><Relationship Id="rId162" Type="http://schemas.openxmlformats.org/officeDocument/2006/relationships/image" Target="media/image163.png"/><Relationship Id="rId161" Type="http://schemas.openxmlformats.org/officeDocument/2006/relationships/image" Target="media/image162.png"/><Relationship Id="rId160" Type="http://schemas.openxmlformats.org/officeDocument/2006/relationships/image" Target="media/image161.png"/><Relationship Id="rId16" Type="http://schemas.openxmlformats.org/officeDocument/2006/relationships/image" Target="media/image17.png"/><Relationship Id="rId159" Type="http://schemas.openxmlformats.org/officeDocument/2006/relationships/image" Target="media/image160.png"/><Relationship Id="rId158" Type="http://schemas.openxmlformats.org/officeDocument/2006/relationships/image" Target="media/image159.png"/><Relationship Id="rId157" Type="http://schemas.openxmlformats.org/officeDocument/2006/relationships/image" Target="media/image158.png"/><Relationship Id="rId156" Type="http://schemas.openxmlformats.org/officeDocument/2006/relationships/image" Target="media/image157.png"/><Relationship Id="rId155" Type="http://schemas.openxmlformats.org/officeDocument/2006/relationships/image" Target="media/image156.png"/><Relationship Id="rId154" Type="http://schemas.openxmlformats.org/officeDocument/2006/relationships/image" Target="media/image155.png"/><Relationship Id="rId153" Type="http://schemas.openxmlformats.org/officeDocument/2006/relationships/image" Target="media/image154.png"/><Relationship Id="rId152" Type="http://schemas.openxmlformats.org/officeDocument/2006/relationships/image" Target="media/image153.png"/><Relationship Id="rId151" Type="http://schemas.openxmlformats.org/officeDocument/2006/relationships/image" Target="media/image152.png"/><Relationship Id="rId150" Type="http://schemas.openxmlformats.org/officeDocument/2006/relationships/image" Target="media/image151.png"/><Relationship Id="rId15" Type="http://schemas.openxmlformats.org/officeDocument/2006/relationships/image" Target="media/image16.png"/><Relationship Id="rId149" Type="http://schemas.openxmlformats.org/officeDocument/2006/relationships/image" Target="media/image150.png"/><Relationship Id="rId148" Type="http://schemas.openxmlformats.org/officeDocument/2006/relationships/image" Target="media/image149.png"/><Relationship Id="rId147" Type="http://schemas.openxmlformats.org/officeDocument/2006/relationships/image" Target="media/image148.png"/><Relationship Id="rId146" Type="http://schemas.openxmlformats.org/officeDocument/2006/relationships/image" Target="media/image147.png"/><Relationship Id="rId145" Type="http://schemas.openxmlformats.org/officeDocument/2006/relationships/image" Target="media/image146.png"/><Relationship Id="rId144" Type="http://schemas.openxmlformats.org/officeDocument/2006/relationships/image" Target="media/image145.png"/><Relationship Id="rId143" Type="http://schemas.openxmlformats.org/officeDocument/2006/relationships/image" Target="media/image144.png"/><Relationship Id="rId142" Type="http://schemas.openxmlformats.org/officeDocument/2006/relationships/image" Target="media/image143.png"/><Relationship Id="rId141" Type="http://schemas.openxmlformats.org/officeDocument/2006/relationships/image" Target="media/image142.png"/><Relationship Id="rId140" Type="http://schemas.openxmlformats.org/officeDocument/2006/relationships/image" Target="media/image141.png"/><Relationship Id="rId14" Type="http://schemas.openxmlformats.org/officeDocument/2006/relationships/image" Target="media/image15.png"/><Relationship Id="rId139" Type="http://schemas.openxmlformats.org/officeDocument/2006/relationships/image" Target="media/image140.png"/><Relationship Id="rId138" Type="http://schemas.openxmlformats.org/officeDocument/2006/relationships/image" Target="media/image139.png"/><Relationship Id="rId137" Type="http://schemas.openxmlformats.org/officeDocument/2006/relationships/image" Target="media/image138.png"/><Relationship Id="rId136" Type="http://schemas.openxmlformats.org/officeDocument/2006/relationships/image" Target="media/image137.png"/><Relationship Id="rId135" Type="http://schemas.openxmlformats.org/officeDocument/2006/relationships/image" Target="media/image136.png"/><Relationship Id="rId134" Type="http://schemas.openxmlformats.org/officeDocument/2006/relationships/image" Target="media/image135.png"/><Relationship Id="rId133" Type="http://schemas.openxmlformats.org/officeDocument/2006/relationships/image" Target="media/image134.png"/><Relationship Id="rId132" Type="http://schemas.openxmlformats.org/officeDocument/2006/relationships/image" Target="media/image133.png"/><Relationship Id="rId131" Type="http://schemas.openxmlformats.org/officeDocument/2006/relationships/image" Target="media/image132.png"/><Relationship Id="rId130" Type="http://schemas.openxmlformats.org/officeDocument/2006/relationships/image" Target="media/image131.png"/><Relationship Id="rId13" Type="http://schemas.openxmlformats.org/officeDocument/2006/relationships/image" Target="media/image14.png"/><Relationship Id="rId129" Type="http://schemas.openxmlformats.org/officeDocument/2006/relationships/image" Target="media/image130.png"/><Relationship Id="rId128" Type="http://schemas.openxmlformats.org/officeDocument/2006/relationships/image" Target="media/image129.png"/><Relationship Id="rId127" Type="http://schemas.openxmlformats.org/officeDocument/2006/relationships/image" Target="media/image128.png"/><Relationship Id="rId126" Type="http://schemas.openxmlformats.org/officeDocument/2006/relationships/image" Target="media/image127.png"/><Relationship Id="rId125" Type="http://schemas.openxmlformats.org/officeDocument/2006/relationships/image" Target="media/image126.png"/><Relationship Id="rId124" Type="http://schemas.openxmlformats.org/officeDocument/2006/relationships/image" Target="media/image125.png"/><Relationship Id="rId123" Type="http://schemas.openxmlformats.org/officeDocument/2006/relationships/image" Target="media/image124.png"/><Relationship Id="rId122" Type="http://schemas.openxmlformats.org/officeDocument/2006/relationships/image" Target="media/image123.png"/><Relationship Id="rId121" Type="http://schemas.openxmlformats.org/officeDocument/2006/relationships/image" Target="media/image122.png"/><Relationship Id="rId120" Type="http://schemas.openxmlformats.org/officeDocument/2006/relationships/image" Target="media/image121.png"/><Relationship Id="rId12" Type="http://schemas.openxmlformats.org/officeDocument/2006/relationships/image" Target="media/image13.png"/><Relationship Id="rId119" Type="http://schemas.openxmlformats.org/officeDocument/2006/relationships/image" Target="media/image120.png"/><Relationship Id="rId118" Type="http://schemas.openxmlformats.org/officeDocument/2006/relationships/image" Target="media/image119.png"/><Relationship Id="rId117" Type="http://schemas.openxmlformats.org/officeDocument/2006/relationships/image" Target="media/image118.png"/><Relationship Id="rId116" Type="http://schemas.openxmlformats.org/officeDocument/2006/relationships/image" Target="media/image117.png"/><Relationship Id="rId115" Type="http://schemas.openxmlformats.org/officeDocument/2006/relationships/image" Target="media/image116.png"/><Relationship Id="rId114" Type="http://schemas.openxmlformats.org/officeDocument/2006/relationships/image" Target="media/image115.png"/><Relationship Id="rId113" Type="http://schemas.openxmlformats.org/officeDocument/2006/relationships/image" Target="media/image114.png"/><Relationship Id="rId112" Type="http://schemas.openxmlformats.org/officeDocument/2006/relationships/image" Target="media/image113.png"/><Relationship Id="rId111" Type="http://schemas.openxmlformats.org/officeDocument/2006/relationships/image" Target="media/image112.png"/><Relationship Id="rId110" Type="http://schemas.openxmlformats.org/officeDocument/2006/relationships/image" Target="media/image111.png"/><Relationship Id="rId11" Type="http://schemas.openxmlformats.org/officeDocument/2006/relationships/image" Target="media/image12.png"/><Relationship Id="rId109" Type="http://schemas.openxmlformats.org/officeDocument/2006/relationships/image" Target="media/image110.png"/><Relationship Id="rId108" Type="http://schemas.openxmlformats.org/officeDocument/2006/relationships/image" Target="media/image109.png"/><Relationship Id="rId107" Type="http://schemas.openxmlformats.org/officeDocument/2006/relationships/image" Target="media/image108.png"/><Relationship Id="rId106" Type="http://schemas.openxmlformats.org/officeDocument/2006/relationships/image" Target="media/image107.png"/><Relationship Id="rId105" Type="http://schemas.openxmlformats.org/officeDocument/2006/relationships/image" Target="media/image106.png"/><Relationship Id="rId104" Type="http://schemas.openxmlformats.org/officeDocument/2006/relationships/image" Target="media/image105.png"/><Relationship Id="rId103" Type="http://schemas.openxmlformats.org/officeDocument/2006/relationships/image" Target="media/image104.png"/><Relationship Id="rId102" Type="http://schemas.openxmlformats.org/officeDocument/2006/relationships/image" Target="media/image103.png"/><Relationship Id="rId101" Type="http://schemas.openxmlformats.org/officeDocument/2006/relationships/image" Target="media/image102.png"/><Relationship Id="rId100" Type="http://schemas.openxmlformats.org/officeDocument/2006/relationships/image" Target="media/image101.png"/><Relationship Id="rId10" Type="http://schemas.openxmlformats.org/officeDocument/2006/relationships/image" Target="media/image11.png"/><Relationship Id="rId1" Type="http://schemas.openxmlformats.org/officeDocument/2006/relationships/image" Target="media/image2.pn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241300</xdr:colOff>
      <xdr:row>50</xdr:row>
      <xdr:rowOff>163195</xdr:rowOff>
    </xdr:from>
    <xdr:to>
      <xdr:col>7</xdr:col>
      <xdr:colOff>1216025</xdr:colOff>
      <xdr:row>50</xdr:row>
      <xdr:rowOff>939800</xdr:rowOff>
    </xdr:to>
    <xdr:pic>
      <xdr:nvPicPr>
        <xdr:cNvPr id="98" name="图片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18070" y="62355095"/>
          <a:ext cx="974725" cy="7766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8"/>
  <sheetViews>
    <sheetView tabSelected="1" view="pageBreakPreview" zoomScaleNormal="70" workbookViewId="0">
      <pane ySplit="3" topLeftCell="A4" activePane="bottomLeft" state="frozen"/>
      <selection/>
      <selection pane="bottomLeft" activeCell="J113" sqref="J113"/>
    </sheetView>
  </sheetViews>
  <sheetFormatPr defaultColWidth="9" defaultRowHeight="13.5"/>
  <cols>
    <col min="1" max="1" width="6.38333333333333" style="3" customWidth="1"/>
    <col min="2" max="2" width="14.5333333333333" style="3" customWidth="1"/>
    <col min="3" max="3" width="9.38333333333333" style="3" customWidth="1"/>
    <col min="4" max="4" width="16.7833333333333" style="3" customWidth="1"/>
    <col min="5" max="5" width="16.7166666666667" style="3" customWidth="1"/>
    <col min="6" max="6" width="12.6333333333333" style="3" customWidth="1"/>
    <col min="7" max="7" width="17.75" style="3" customWidth="1"/>
    <col min="8" max="8" width="20.1333333333333" style="3" customWidth="1"/>
    <col min="9" max="9" width="32.6833333333333" style="4" customWidth="1"/>
    <col min="10" max="11" width="10" style="3" customWidth="1"/>
    <col min="12" max="12" width="12.4416666666667" style="5" customWidth="1"/>
    <col min="13" max="13" width="12.4416666666667" style="6" customWidth="1"/>
    <col min="14" max="14" width="14.5583333333333" style="6" customWidth="1"/>
    <col min="15" max="16384" width="9" style="3"/>
  </cols>
  <sheetData>
    <row r="1" ht="44" customHeight="1" spans="1:14">
      <c r="A1" s="7" t="s">
        <v>0</v>
      </c>
      <c r="B1" s="7"/>
      <c r="C1" s="7"/>
      <c r="D1" s="7"/>
      <c r="E1" s="7"/>
      <c r="F1" s="7"/>
      <c r="G1" s="7"/>
      <c r="H1" s="7"/>
      <c r="I1" s="11"/>
      <c r="J1" s="7"/>
      <c r="K1" s="7"/>
      <c r="L1" s="12"/>
      <c r="M1" s="13"/>
      <c r="N1" s="13"/>
    </row>
    <row r="2" s="1" customFormat="1" ht="44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4" t="s">
        <v>11</v>
      </c>
      <c r="L2" s="15" t="s">
        <v>12</v>
      </c>
      <c r="M2" s="16" t="s">
        <v>13</v>
      </c>
      <c r="N2" s="16" t="s">
        <v>14</v>
      </c>
    </row>
    <row r="3" s="2" customFormat="1" ht="44" customHeight="1" spans="1:14">
      <c r="A3" s="8"/>
      <c r="B3" s="8"/>
      <c r="C3" s="8"/>
      <c r="D3" s="8"/>
      <c r="E3" s="8"/>
      <c r="F3" s="8"/>
      <c r="G3" s="8"/>
      <c r="H3" s="8"/>
      <c r="I3" s="8"/>
      <c r="J3" s="8"/>
      <c r="K3" s="17"/>
      <c r="L3" s="15"/>
      <c r="M3" s="16"/>
      <c r="N3" s="16"/>
    </row>
    <row r="4" s="2" customFormat="1" ht="134" customHeight="1" spans="1:14">
      <c r="A4" s="9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tr">
        <f>_xlfn.DISPIMG("ID_120D76189F324A6A8FB12E68B6399CD9",1)</f>
        <v>=DISPIMG("ID_120D76189F324A6A8FB12E68B6399CD9",1)</v>
      </c>
      <c r="H4" s="9" t="str">
        <f>_xlfn.DISPIMG("ID_2051473C92AB416C833692296280193E",1)</f>
        <v>=DISPIMG("ID_2051473C92AB416C833692296280193E",1)</v>
      </c>
      <c r="I4" s="18" t="s">
        <v>20</v>
      </c>
      <c r="J4" s="9" t="s">
        <v>21</v>
      </c>
      <c r="K4" s="9">
        <v>35</v>
      </c>
      <c r="L4" s="19">
        <v>9500</v>
      </c>
      <c r="M4" s="20"/>
      <c r="N4" s="20">
        <f>K4*M4</f>
        <v>0</v>
      </c>
    </row>
    <row r="5" s="2" customFormat="1" ht="134" customHeight="1" spans="1:14">
      <c r="A5" s="9">
        <v>2</v>
      </c>
      <c r="B5" s="9" t="s">
        <v>15</v>
      </c>
      <c r="C5" s="9" t="s">
        <v>16</v>
      </c>
      <c r="D5" s="9" t="s">
        <v>17</v>
      </c>
      <c r="E5" s="9" t="s">
        <v>22</v>
      </c>
      <c r="F5" s="9" t="s">
        <v>19</v>
      </c>
      <c r="G5" s="9" t="str">
        <f>_xlfn.DISPIMG("ID_4D894558FD294A929BDEB74696A92F38",1)</f>
        <v>=DISPIMG("ID_4D894558FD294A929BDEB74696A92F38",1)</v>
      </c>
      <c r="H5" s="9" t="str">
        <f>_xlfn.DISPIMG("ID_90AF7F787CA14EFBA1C086260B4014B5",1)</f>
        <v>=DISPIMG("ID_90AF7F787CA14EFBA1C086260B4014B5",1)</v>
      </c>
      <c r="I5" s="18" t="s">
        <v>20</v>
      </c>
      <c r="J5" s="9" t="s">
        <v>21</v>
      </c>
      <c r="K5" s="9">
        <v>35</v>
      </c>
      <c r="L5" s="19">
        <v>8000</v>
      </c>
      <c r="M5" s="20"/>
      <c r="N5" s="20">
        <f t="shared" ref="N5:N36" si="0">K5*M5</f>
        <v>0</v>
      </c>
    </row>
    <row r="6" s="2" customFormat="1" ht="134" customHeight="1" spans="1:14">
      <c r="A6" s="9">
        <v>3</v>
      </c>
      <c r="B6" s="9" t="s">
        <v>15</v>
      </c>
      <c r="C6" s="9" t="s">
        <v>16</v>
      </c>
      <c r="D6" s="9" t="s">
        <v>17</v>
      </c>
      <c r="E6" s="9" t="s">
        <v>23</v>
      </c>
      <c r="F6" s="9" t="s">
        <v>19</v>
      </c>
      <c r="G6" s="9" t="str">
        <f>_xlfn.DISPIMG("ID_DC066ECF42414FC7B8A4F7044D7DDEF9",1)</f>
        <v>=DISPIMG("ID_DC066ECF42414FC7B8A4F7044D7DDEF9",1)</v>
      </c>
      <c r="H6" s="9" t="str">
        <f>_xlfn.DISPIMG("ID_6ACFEB85BC9D4A55990202E92485C180",1)</f>
        <v>=DISPIMG("ID_6ACFEB85BC9D4A55990202E92485C180",1)</v>
      </c>
      <c r="I6" s="18" t="s">
        <v>24</v>
      </c>
      <c r="J6" s="9" t="s">
        <v>21</v>
      </c>
      <c r="K6" s="9">
        <v>35</v>
      </c>
      <c r="L6" s="19">
        <v>5100</v>
      </c>
      <c r="M6" s="20"/>
      <c r="N6" s="20">
        <f t="shared" si="0"/>
        <v>0</v>
      </c>
    </row>
    <row r="7" s="2" customFormat="1" ht="134" customHeight="1" spans="1:14">
      <c r="A7" s="9">
        <v>4</v>
      </c>
      <c r="B7" s="9" t="s">
        <v>15</v>
      </c>
      <c r="C7" s="9" t="s">
        <v>16</v>
      </c>
      <c r="D7" s="9" t="s">
        <v>25</v>
      </c>
      <c r="E7" s="9" t="s">
        <v>26</v>
      </c>
      <c r="F7" s="9" t="s">
        <v>19</v>
      </c>
      <c r="G7" s="9" t="str">
        <f>_xlfn.DISPIMG("ID_44C7343B34304191A048AE97A337730E",1)</f>
        <v>=DISPIMG("ID_44C7343B34304191A048AE97A337730E",1)</v>
      </c>
      <c r="H7" s="9" t="str">
        <f>_xlfn.DISPIMG("ID_A0A42FD5BD724BBEBC2F7991E26BAE06",1)</f>
        <v>=DISPIMG("ID_A0A42FD5BD724BBEBC2F7991E26BAE06",1)</v>
      </c>
      <c r="I7" s="18" t="s">
        <v>27</v>
      </c>
      <c r="J7" s="9" t="s">
        <v>21</v>
      </c>
      <c r="K7" s="9">
        <v>35</v>
      </c>
      <c r="L7" s="19">
        <v>11800</v>
      </c>
      <c r="M7" s="20"/>
      <c r="N7" s="20">
        <f t="shared" si="0"/>
        <v>0</v>
      </c>
    </row>
    <row r="8" s="2" customFormat="1" ht="102" customHeight="1" spans="1:14">
      <c r="A8" s="9">
        <v>5</v>
      </c>
      <c r="B8" s="9" t="s">
        <v>15</v>
      </c>
      <c r="C8" s="9" t="s">
        <v>16</v>
      </c>
      <c r="D8" s="9" t="s">
        <v>28</v>
      </c>
      <c r="E8" s="9" t="s">
        <v>29</v>
      </c>
      <c r="F8" s="9" t="s">
        <v>19</v>
      </c>
      <c r="G8" s="9" t="str">
        <f>_xlfn.DISPIMG("ID_F38BFB84E1484E40B87DC19D2E165755",1)</f>
        <v>=DISPIMG("ID_F38BFB84E1484E40B87DC19D2E165755",1)</v>
      </c>
      <c r="H8" s="9" t="str">
        <f>_xlfn.DISPIMG("ID_B2BE4A6CC62D420F9A8E81D8BEF52096",1)</f>
        <v>=DISPIMG("ID_B2BE4A6CC62D420F9A8E81D8BEF52096",1)</v>
      </c>
      <c r="I8" s="18" t="s">
        <v>30</v>
      </c>
      <c r="J8" s="9" t="s">
        <v>21</v>
      </c>
      <c r="K8" s="9">
        <v>35</v>
      </c>
      <c r="L8" s="21">
        <v>3300</v>
      </c>
      <c r="M8" s="22"/>
      <c r="N8" s="20">
        <f t="shared" si="0"/>
        <v>0</v>
      </c>
    </row>
    <row r="9" s="2" customFormat="1" ht="102" customHeight="1" spans="1:14">
      <c r="A9" s="9">
        <v>6</v>
      </c>
      <c r="B9" s="9" t="s">
        <v>15</v>
      </c>
      <c r="C9" s="9" t="s">
        <v>16</v>
      </c>
      <c r="D9" s="9" t="s">
        <v>28</v>
      </c>
      <c r="E9" s="9" t="s">
        <v>31</v>
      </c>
      <c r="F9" s="9" t="s">
        <v>19</v>
      </c>
      <c r="G9" s="9" t="str">
        <f>_xlfn.DISPIMG("ID_F38BFB84E1484E40B87DC19D2E165755",1)</f>
        <v>=DISPIMG("ID_F38BFB84E1484E40B87DC19D2E165755",1)</v>
      </c>
      <c r="H9" s="9" t="str">
        <f>_xlfn.DISPIMG("ID_1B42D519849B42F69023FCBB8A349D43",1)</f>
        <v>=DISPIMG("ID_1B42D519849B42F69023FCBB8A349D43",1)</v>
      </c>
      <c r="I9" s="18" t="s">
        <v>32</v>
      </c>
      <c r="J9" s="9" t="s">
        <v>21</v>
      </c>
      <c r="K9" s="9">
        <v>35</v>
      </c>
      <c r="L9" s="21">
        <v>2800</v>
      </c>
      <c r="M9" s="22"/>
      <c r="N9" s="20">
        <f t="shared" si="0"/>
        <v>0</v>
      </c>
    </row>
    <row r="10" s="2" customFormat="1" ht="114" customHeight="1" spans="1:14">
      <c r="A10" s="9">
        <v>7</v>
      </c>
      <c r="B10" s="9" t="s">
        <v>15</v>
      </c>
      <c r="C10" s="9" t="s">
        <v>16</v>
      </c>
      <c r="D10" s="9" t="s">
        <v>33</v>
      </c>
      <c r="E10" s="9" t="s">
        <v>34</v>
      </c>
      <c r="F10" s="9" t="s">
        <v>19</v>
      </c>
      <c r="G10" s="9" t="str">
        <f>_xlfn.DISPIMG("ID_F58E1854248A4A779D17C17CFADB6981",1)</f>
        <v>=DISPIMG("ID_F58E1854248A4A779D17C17CFADB6981",1)</v>
      </c>
      <c r="H10" s="9" t="str">
        <f>_xlfn.DISPIMG("ID_C8FA49A8DBA24873A4CF05A81BC9AD88",1)</f>
        <v>=DISPIMG("ID_C8FA49A8DBA24873A4CF05A81BC9AD88",1)</v>
      </c>
      <c r="I10" s="18" t="s">
        <v>35</v>
      </c>
      <c r="J10" s="9" t="s">
        <v>21</v>
      </c>
      <c r="K10" s="9">
        <v>35</v>
      </c>
      <c r="L10" s="19">
        <v>3380</v>
      </c>
      <c r="M10" s="20"/>
      <c r="N10" s="20">
        <f t="shared" si="0"/>
        <v>0</v>
      </c>
    </row>
    <row r="11" s="2" customFormat="1" ht="114" customHeight="1" spans="1:14">
      <c r="A11" s="9">
        <v>8</v>
      </c>
      <c r="B11" s="9" t="s">
        <v>15</v>
      </c>
      <c r="C11" s="9" t="s">
        <v>16</v>
      </c>
      <c r="D11" s="9" t="s">
        <v>33</v>
      </c>
      <c r="E11" s="9" t="s">
        <v>36</v>
      </c>
      <c r="F11" s="9" t="s">
        <v>19</v>
      </c>
      <c r="G11" s="9" t="str">
        <f>_xlfn.DISPIMG("ID_0AB35A6D8CBA49FEB6DDF13C50B3D4F4",1)</f>
        <v>=DISPIMG("ID_0AB35A6D8CBA49FEB6DDF13C50B3D4F4",1)</v>
      </c>
      <c r="H11" s="9" t="str">
        <f>_xlfn.DISPIMG("ID_0F70864DAB7A4A9D92F4FAF995398B96",1)</f>
        <v>=DISPIMG("ID_0F70864DAB7A4A9D92F4FAF995398B96",1)</v>
      </c>
      <c r="I11" s="18" t="s">
        <v>37</v>
      </c>
      <c r="J11" s="9" t="s">
        <v>21</v>
      </c>
      <c r="K11" s="9">
        <v>35</v>
      </c>
      <c r="L11" s="19">
        <v>2800</v>
      </c>
      <c r="M11" s="20"/>
      <c r="N11" s="20">
        <f t="shared" si="0"/>
        <v>0</v>
      </c>
    </row>
    <row r="12" s="2" customFormat="1" ht="113" customHeight="1" spans="1:14">
      <c r="A12" s="9">
        <v>9</v>
      </c>
      <c r="B12" s="9" t="s">
        <v>15</v>
      </c>
      <c r="C12" s="9" t="s">
        <v>16</v>
      </c>
      <c r="D12" s="9" t="s">
        <v>33</v>
      </c>
      <c r="E12" s="9" t="s">
        <v>38</v>
      </c>
      <c r="F12" s="9" t="s">
        <v>19</v>
      </c>
      <c r="G12" s="9" t="str">
        <f>_xlfn.DISPIMG("ID_03A870BB96274969BBCF5159B3C435CD",1)</f>
        <v>=DISPIMG("ID_03A870BB96274969BBCF5159B3C435CD",1)</v>
      </c>
      <c r="H12" s="9" t="str">
        <f>_xlfn.DISPIMG("ID_0C8249C10FB14B8EBB04DC1C6AA24091",1)</f>
        <v>=DISPIMG("ID_0C8249C10FB14B8EBB04DC1C6AA24091",1)</v>
      </c>
      <c r="I12" s="18" t="s">
        <v>39</v>
      </c>
      <c r="J12" s="9" t="s">
        <v>21</v>
      </c>
      <c r="K12" s="9">
        <v>35</v>
      </c>
      <c r="L12" s="19">
        <v>2000</v>
      </c>
      <c r="M12" s="20"/>
      <c r="N12" s="20">
        <f t="shared" si="0"/>
        <v>0</v>
      </c>
    </row>
    <row r="13" s="2" customFormat="1" ht="113" customHeight="1" spans="1:14">
      <c r="A13" s="9">
        <v>10</v>
      </c>
      <c r="B13" s="9" t="s">
        <v>15</v>
      </c>
      <c r="C13" s="9" t="s">
        <v>16</v>
      </c>
      <c r="D13" s="9" t="s">
        <v>33</v>
      </c>
      <c r="E13" s="9" t="s">
        <v>40</v>
      </c>
      <c r="F13" s="9" t="s">
        <v>19</v>
      </c>
      <c r="G13" s="9" t="str">
        <f>_xlfn.DISPIMG("ID_D746515BE37548999DCCBA9E3924D691",1)</f>
        <v>=DISPIMG("ID_D746515BE37548999DCCBA9E3924D691",1)</v>
      </c>
      <c r="H13" s="9" t="str">
        <f>_xlfn.DISPIMG("ID_2241C93A61714F6B9832B93138290B13",1)</f>
        <v>=DISPIMG("ID_2241C93A61714F6B9832B93138290B13",1)</v>
      </c>
      <c r="I13" s="18" t="s">
        <v>41</v>
      </c>
      <c r="J13" s="9" t="s">
        <v>21</v>
      </c>
      <c r="K13" s="9">
        <v>35</v>
      </c>
      <c r="L13" s="19">
        <v>1800</v>
      </c>
      <c r="M13" s="20"/>
      <c r="N13" s="20">
        <f t="shared" si="0"/>
        <v>0</v>
      </c>
    </row>
    <row r="14" s="2" customFormat="1" ht="66" customHeight="1" spans="1:14">
      <c r="A14" s="9">
        <v>11</v>
      </c>
      <c r="B14" s="9" t="s">
        <v>15</v>
      </c>
      <c r="C14" s="9" t="s">
        <v>42</v>
      </c>
      <c r="D14" s="9" t="s">
        <v>43</v>
      </c>
      <c r="E14" s="9"/>
      <c r="F14" s="9" t="s">
        <v>19</v>
      </c>
      <c r="G14" s="9" t="str">
        <f>_xlfn.DISPIMG("ID_D2E7142F258847ACB2B06C6CE7669E92",1)</f>
        <v>=DISPIMG("ID_D2E7142F258847ACB2B06C6CE7669E92",1)</v>
      </c>
      <c r="H14" s="9"/>
      <c r="I14" s="18" t="s">
        <v>44</v>
      </c>
      <c r="J14" s="9" t="s">
        <v>21</v>
      </c>
      <c r="K14" s="9">
        <v>35</v>
      </c>
      <c r="L14" s="19">
        <v>55</v>
      </c>
      <c r="M14" s="20"/>
      <c r="N14" s="20">
        <f t="shared" si="0"/>
        <v>0</v>
      </c>
    </row>
    <row r="15" s="2" customFormat="1" ht="97" customHeight="1" spans="1:14">
      <c r="A15" s="9">
        <v>12</v>
      </c>
      <c r="B15" s="9" t="s">
        <v>45</v>
      </c>
      <c r="C15" s="9" t="s">
        <v>16</v>
      </c>
      <c r="D15" s="9" t="s">
        <v>45</v>
      </c>
      <c r="E15" s="9" t="s">
        <v>46</v>
      </c>
      <c r="F15" s="9" t="s">
        <v>19</v>
      </c>
      <c r="G15" s="9" t="str">
        <f>_xlfn.DISPIMG("ID_2C71B8C4B3414DF69025312A3F70EA1B",1)</f>
        <v>=DISPIMG("ID_2C71B8C4B3414DF69025312A3F70EA1B",1)</v>
      </c>
      <c r="H15" s="9" t="str">
        <f>_xlfn.DISPIMG("ID_F7F8C6CDE03B4A79844BE512932CC710",1)</f>
        <v>=DISPIMG("ID_F7F8C6CDE03B4A79844BE512932CC710",1)</v>
      </c>
      <c r="I15" s="18" t="s">
        <v>47</v>
      </c>
      <c r="J15" s="9" t="s">
        <v>21</v>
      </c>
      <c r="K15" s="9">
        <v>35</v>
      </c>
      <c r="L15" s="19">
        <v>520</v>
      </c>
      <c r="M15" s="20"/>
      <c r="N15" s="20">
        <f t="shared" si="0"/>
        <v>0</v>
      </c>
    </row>
    <row r="16" s="2" customFormat="1" ht="97" customHeight="1" spans="1:14">
      <c r="A16" s="9">
        <v>13</v>
      </c>
      <c r="B16" s="9" t="s">
        <v>45</v>
      </c>
      <c r="C16" s="9" t="s">
        <v>16</v>
      </c>
      <c r="D16" s="9" t="s">
        <v>48</v>
      </c>
      <c r="E16" s="9" t="s">
        <v>49</v>
      </c>
      <c r="F16" s="9" t="s">
        <v>19</v>
      </c>
      <c r="G16" s="9" t="str">
        <f>_xlfn.DISPIMG("ID_7DDC2BCD11644C4FAE42E507D2B78CC2",1)</f>
        <v>=DISPIMG("ID_7DDC2BCD11644C4FAE42E507D2B78CC2",1)</v>
      </c>
      <c r="H16" s="9" t="str">
        <f>_xlfn.DISPIMG("ID_3748117ADD324EA38BE1A803B1CC8030",1)</f>
        <v>=DISPIMG("ID_3748117ADD324EA38BE1A803B1CC8030",1)</v>
      </c>
      <c r="I16" s="18" t="s">
        <v>50</v>
      </c>
      <c r="J16" s="9" t="s">
        <v>21</v>
      </c>
      <c r="K16" s="9">
        <v>35</v>
      </c>
      <c r="L16" s="19">
        <v>480</v>
      </c>
      <c r="M16" s="20"/>
      <c r="N16" s="20">
        <f t="shared" si="0"/>
        <v>0</v>
      </c>
    </row>
    <row r="17" s="2" customFormat="1" ht="112" customHeight="1" spans="1:14">
      <c r="A17" s="9">
        <v>14</v>
      </c>
      <c r="B17" s="9" t="s">
        <v>51</v>
      </c>
      <c r="C17" s="9" t="s">
        <v>16</v>
      </c>
      <c r="D17" s="9" t="s">
        <v>52</v>
      </c>
      <c r="E17" s="9" t="s">
        <v>53</v>
      </c>
      <c r="F17" s="9" t="s">
        <v>19</v>
      </c>
      <c r="G17" s="9" t="str">
        <f>_xlfn.DISPIMG("ID_95C6C3092E66450989396B158F5B64C0",1)</f>
        <v>=DISPIMG("ID_95C6C3092E66450989396B158F5B64C0",1)</v>
      </c>
      <c r="H17" s="9" t="str">
        <f>_xlfn.DISPIMG("ID_22CCFFD1E8B4457C82826D938A1A32D2",1)</f>
        <v>=DISPIMG("ID_22CCFFD1E8B4457C82826D938A1A32D2",1)</v>
      </c>
      <c r="I17" s="18" t="s">
        <v>54</v>
      </c>
      <c r="J17" s="9" t="s">
        <v>21</v>
      </c>
      <c r="K17" s="9">
        <v>35</v>
      </c>
      <c r="L17" s="19">
        <v>4100</v>
      </c>
      <c r="M17" s="20"/>
      <c r="N17" s="20">
        <f t="shared" si="0"/>
        <v>0</v>
      </c>
    </row>
    <row r="18" s="2" customFormat="1" ht="112" customHeight="1" spans="1:14">
      <c r="A18" s="9">
        <v>15</v>
      </c>
      <c r="B18" s="9" t="s">
        <v>51</v>
      </c>
      <c r="C18" s="9" t="s">
        <v>16</v>
      </c>
      <c r="D18" s="9" t="s">
        <v>52</v>
      </c>
      <c r="E18" s="9" t="s">
        <v>55</v>
      </c>
      <c r="F18" s="9" t="s">
        <v>19</v>
      </c>
      <c r="G18" s="9" t="str">
        <f>_xlfn.DISPIMG("ID_B55B998CDEC844E28723FC2CA4B87205",1)</f>
        <v>=DISPIMG("ID_B55B998CDEC844E28723FC2CA4B87205",1)</v>
      </c>
      <c r="H18" s="9" t="str">
        <f>_xlfn.DISPIMG("ID_E654D48ADAEE4FF98F04CE1DB7B0AEB1",1)</f>
        <v>=DISPIMG("ID_E654D48ADAEE4FF98F04CE1DB7B0AEB1",1)</v>
      </c>
      <c r="I18" s="18" t="s">
        <v>56</v>
      </c>
      <c r="J18" s="9" t="s">
        <v>21</v>
      </c>
      <c r="K18" s="9">
        <v>35</v>
      </c>
      <c r="L18" s="19">
        <v>3500</v>
      </c>
      <c r="M18" s="20"/>
      <c r="N18" s="20">
        <f t="shared" si="0"/>
        <v>0</v>
      </c>
    </row>
    <row r="19" s="2" customFormat="1" ht="112" customHeight="1" spans="1:14">
      <c r="A19" s="9">
        <v>16</v>
      </c>
      <c r="B19" s="9" t="s">
        <v>51</v>
      </c>
      <c r="C19" s="9" t="s">
        <v>16</v>
      </c>
      <c r="D19" s="9" t="s">
        <v>57</v>
      </c>
      <c r="E19" s="9" t="s">
        <v>58</v>
      </c>
      <c r="F19" s="9" t="s">
        <v>19</v>
      </c>
      <c r="G19" s="9" t="str">
        <f>_xlfn.DISPIMG("ID_C87D4612D4194CE09AE6F132347531AA",1)</f>
        <v>=DISPIMG("ID_C87D4612D4194CE09AE6F132347531AA",1)</v>
      </c>
      <c r="H19" s="9" t="str">
        <f>_xlfn.DISPIMG("ID_D19E053ABE404DB7A1F9B2750D600BFE",1)</f>
        <v>=DISPIMG("ID_D19E053ABE404DB7A1F9B2750D600BFE",1)</v>
      </c>
      <c r="I19" s="18" t="s">
        <v>59</v>
      </c>
      <c r="J19" s="9" t="s">
        <v>21</v>
      </c>
      <c r="K19" s="9">
        <v>35</v>
      </c>
      <c r="L19" s="19">
        <v>1650</v>
      </c>
      <c r="M19" s="20"/>
      <c r="N19" s="20">
        <f t="shared" si="0"/>
        <v>0</v>
      </c>
    </row>
    <row r="20" s="2" customFormat="1" ht="112" customHeight="1" spans="1:14">
      <c r="A20" s="9">
        <v>17</v>
      </c>
      <c r="B20" s="9" t="s">
        <v>51</v>
      </c>
      <c r="C20" s="9" t="s">
        <v>16</v>
      </c>
      <c r="D20" s="9" t="s">
        <v>57</v>
      </c>
      <c r="E20" s="9" t="s">
        <v>60</v>
      </c>
      <c r="F20" s="9" t="s">
        <v>19</v>
      </c>
      <c r="G20" s="9" t="str">
        <f>_xlfn.DISPIMG("ID_9A952B4E119D4CC69C6FD390FF404906",1)</f>
        <v>=DISPIMG("ID_9A952B4E119D4CC69C6FD390FF404906",1)</v>
      </c>
      <c r="H20" s="9" t="str">
        <f>_xlfn.DISPIMG("ID_91EED96AE4484D4DAADD4805C889317B",1)</f>
        <v>=DISPIMG("ID_91EED96AE4484D4DAADD4805C889317B",1)</v>
      </c>
      <c r="I20" s="18" t="s">
        <v>59</v>
      </c>
      <c r="J20" s="9" t="s">
        <v>21</v>
      </c>
      <c r="K20" s="9">
        <v>35</v>
      </c>
      <c r="L20" s="19">
        <v>1050</v>
      </c>
      <c r="M20" s="20"/>
      <c r="N20" s="20">
        <f t="shared" si="0"/>
        <v>0</v>
      </c>
    </row>
    <row r="21" s="2" customFormat="1" ht="112" customHeight="1" spans="1:14">
      <c r="A21" s="9">
        <v>18</v>
      </c>
      <c r="B21" s="9" t="s">
        <v>51</v>
      </c>
      <c r="C21" s="9" t="s">
        <v>16</v>
      </c>
      <c r="D21" s="9" t="s">
        <v>57</v>
      </c>
      <c r="E21" s="9" t="s">
        <v>61</v>
      </c>
      <c r="F21" s="9" t="s">
        <v>19</v>
      </c>
      <c r="G21" s="9" t="str">
        <f>_xlfn.DISPIMG("ID_94C33A0D96284164A5AC3ACD53E7EF32",1)</f>
        <v>=DISPIMG("ID_94C33A0D96284164A5AC3ACD53E7EF32",1)</v>
      </c>
      <c r="H21" s="9" t="str">
        <f>_xlfn.DISPIMG("ID_67C4575381494D3EB061F7E613C0D322",1)</f>
        <v>=DISPIMG("ID_67C4575381494D3EB061F7E613C0D322",1)</v>
      </c>
      <c r="I21" s="18" t="s">
        <v>59</v>
      </c>
      <c r="J21" s="9" t="s">
        <v>21</v>
      </c>
      <c r="K21" s="9">
        <v>35</v>
      </c>
      <c r="L21" s="19">
        <v>795</v>
      </c>
      <c r="M21" s="20"/>
      <c r="N21" s="20">
        <f t="shared" si="0"/>
        <v>0</v>
      </c>
    </row>
    <row r="22" s="2" customFormat="1" ht="112" customHeight="1" spans="1:14">
      <c r="A22" s="9">
        <v>19</v>
      </c>
      <c r="B22" s="9" t="s">
        <v>51</v>
      </c>
      <c r="C22" s="9" t="s">
        <v>16</v>
      </c>
      <c r="D22" s="9" t="s">
        <v>57</v>
      </c>
      <c r="E22" s="9" t="s">
        <v>62</v>
      </c>
      <c r="F22" s="9" t="s">
        <v>19</v>
      </c>
      <c r="G22" s="9" t="str">
        <f>_xlfn.DISPIMG("ID_008A39D6CF3A4F2DB21C01BB11B1914B",1)</f>
        <v>=DISPIMG("ID_008A39D6CF3A4F2DB21C01BB11B1914B",1)</v>
      </c>
      <c r="H22" s="9" t="str">
        <f>_xlfn.DISPIMG("ID_CEA24139018849D5B26BD27FA36343A0",1)</f>
        <v>=DISPIMG("ID_CEA24139018849D5B26BD27FA36343A0",1)</v>
      </c>
      <c r="I22" s="18" t="s">
        <v>59</v>
      </c>
      <c r="J22" s="9" t="s">
        <v>21</v>
      </c>
      <c r="K22" s="9">
        <v>35</v>
      </c>
      <c r="L22" s="19">
        <v>740</v>
      </c>
      <c r="M22" s="20"/>
      <c r="N22" s="20">
        <f t="shared" si="0"/>
        <v>0</v>
      </c>
    </row>
    <row r="23" s="2" customFormat="1" ht="105" customHeight="1" spans="1:14">
      <c r="A23" s="9">
        <v>20</v>
      </c>
      <c r="B23" s="9" t="s">
        <v>51</v>
      </c>
      <c r="C23" s="9" t="s">
        <v>16</v>
      </c>
      <c r="D23" s="9" t="s">
        <v>63</v>
      </c>
      <c r="E23" s="9" t="s">
        <v>64</v>
      </c>
      <c r="F23" s="9" t="s">
        <v>19</v>
      </c>
      <c r="G23" s="9" t="str">
        <f>_xlfn.DISPIMG("ID_3080D457A3B44D7E8A0EC727E8F3CEB6",1)</f>
        <v>=DISPIMG("ID_3080D457A3B44D7E8A0EC727E8F3CEB6",1)</v>
      </c>
      <c r="H23" s="9" t="str">
        <f>_xlfn.DISPIMG("ID_365E2D5DB00A479DB267528D5D733553",1)</f>
        <v>=DISPIMG("ID_365E2D5DB00A479DB267528D5D733553",1)</v>
      </c>
      <c r="I23" s="18" t="s">
        <v>65</v>
      </c>
      <c r="J23" s="9" t="s">
        <v>21</v>
      </c>
      <c r="K23" s="9">
        <v>35</v>
      </c>
      <c r="L23" s="19">
        <v>1250</v>
      </c>
      <c r="M23" s="20"/>
      <c r="N23" s="20">
        <f t="shared" si="0"/>
        <v>0</v>
      </c>
    </row>
    <row r="24" s="2" customFormat="1" ht="102" customHeight="1" spans="1:14">
      <c r="A24" s="9">
        <v>21</v>
      </c>
      <c r="B24" s="9" t="s">
        <v>66</v>
      </c>
      <c r="C24" s="9" t="s">
        <v>16</v>
      </c>
      <c r="D24" s="9" t="s">
        <v>67</v>
      </c>
      <c r="E24" s="9" t="s">
        <v>68</v>
      </c>
      <c r="F24" s="9" t="s">
        <v>19</v>
      </c>
      <c r="G24" s="9" t="str">
        <f>_xlfn.DISPIMG("ID_BD3272DA57C64D91B2B857FEB0816AED",1)</f>
        <v>=DISPIMG("ID_BD3272DA57C64D91B2B857FEB0816AED",1)</v>
      </c>
      <c r="H24" s="9" t="str">
        <f>_xlfn.DISPIMG("ID_D6B3EC6E508946BEB31CE9DDA103D32C",1)</f>
        <v>=DISPIMG("ID_D6B3EC6E508946BEB31CE9DDA103D32C",1)</v>
      </c>
      <c r="I24" s="18" t="s">
        <v>69</v>
      </c>
      <c r="J24" s="9" t="s">
        <v>21</v>
      </c>
      <c r="K24" s="9">
        <v>35</v>
      </c>
      <c r="L24" s="19">
        <v>3095</v>
      </c>
      <c r="M24" s="20"/>
      <c r="N24" s="20">
        <f t="shared" si="0"/>
        <v>0</v>
      </c>
    </row>
    <row r="25" s="2" customFormat="1" ht="102" customHeight="1" spans="1:14">
      <c r="A25" s="9">
        <v>22</v>
      </c>
      <c r="B25" s="9" t="s">
        <v>66</v>
      </c>
      <c r="C25" s="9" t="s">
        <v>16</v>
      </c>
      <c r="D25" s="9" t="s">
        <v>67</v>
      </c>
      <c r="E25" s="9" t="s">
        <v>70</v>
      </c>
      <c r="F25" s="9" t="s">
        <v>19</v>
      </c>
      <c r="G25" s="9" t="str">
        <f>_xlfn.DISPIMG("ID_F9625E25715343008386C22B003B7FE9",1)</f>
        <v>=DISPIMG("ID_F9625E25715343008386C22B003B7FE9",1)</v>
      </c>
      <c r="H25" s="9" t="str">
        <f>_xlfn.DISPIMG("ID_B7DF70E3DA0B45CA90BB0D87424EE4C8",1)</f>
        <v>=DISPIMG("ID_B7DF70E3DA0B45CA90BB0D87424EE4C8",1)</v>
      </c>
      <c r="I25" s="18" t="s">
        <v>71</v>
      </c>
      <c r="J25" s="9" t="s">
        <v>21</v>
      </c>
      <c r="K25" s="9">
        <v>35</v>
      </c>
      <c r="L25" s="19">
        <v>2000</v>
      </c>
      <c r="M25" s="20"/>
      <c r="N25" s="20">
        <f t="shared" si="0"/>
        <v>0</v>
      </c>
    </row>
    <row r="26" s="2" customFormat="1" ht="102" customHeight="1" spans="1:14">
      <c r="A26" s="9">
        <v>23</v>
      </c>
      <c r="B26" s="9" t="s">
        <v>66</v>
      </c>
      <c r="C26" s="9" t="s">
        <v>16</v>
      </c>
      <c r="D26" s="9" t="s">
        <v>67</v>
      </c>
      <c r="E26" s="9" t="s">
        <v>72</v>
      </c>
      <c r="F26" s="9" t="s">
        <v>19</v>
      </c>
      <c r="G26" s="9" t="str">
        <f>_xlfn.DISPIMG("ID_8241F12647424B97BCC7D89A5D0C3130",1)</f>
        <v>=DISPIMG("ID_8241F12647424B97BCC7D89A5D0C3130",1)</v>
      </c>
      <c r="H26" s="9" t="str">
        <f>_xlfn.DISPIMG("ID_9DCA1D536BE3486294293A7F9C8AE467",1)</f>
        <v>=DISPIMG("ID_9DCA1D536BE3486294293A7F9C8AE467",1)</v>
      </c>
      <c r="I26" s="18" t="s">
        <v>71</v>
      </c>
      <c r="J26" s="9" t="s">
        <v>21</v>
      </c>
      <c r="K26" s="9">
        <v>35</v>
      </c>
      <c r="L26" s="19">
        <v>1405</v>
      </c>
      <c r="M26" s="20"/>
      <c r="N26" s="20">
        <f t="shared" si="0"/>
        <v>0</v>
      </c>
    </row>
    <row r="27" s="2" customFormat="1" ht="102" customHeight="1" spans="1:14">
      <c r="A27" s="9">
        <v>24</v>
      </c>
      <c r="B27" s="9" t="s">
        <v>66</v>
      </c>
      <c r="C27" s="9" t="s">
        <v>16</v>
      </c>
      <c r="D27" s="9" t="s">
        <v>67</v>
      </c>
      <c r="E27" s="9" t="s">
        <v>73</v>
      </c>
      <c r="F27" s="9" t="s">
        <v>19</v>
      </c>
      <c r="G27" s="9" t="str">
        <f>_xlfn.DISPIMG("ID_B8B96BA0E83C4482973B68E261CED298",1)</f>
        <v>=DISPIMG("ID_B8B96BA0E83C4482973B68E261CED298",1)</v>
      </c>
      <c r="H27" s="9" t="str">
        <f>_xlfn.DISPIMG("ID_E070819F4A024BC7BA05F10195DA8315",1)</f>
        <v>=DISPIMG("ID_E070819F4A024BC7BA05F10195DA8315",1)</v>
      </c>
      <c r="I27" s="18" t="s">
        <v>71</v>
      </c>
      <c r="J27" s="9" t="s">
        <v>21</v>
      </c>
      <c r="K27" s="9">
        <v>35</v>
      </c>
      <c r="L27" s="19">
        <v>1100</v>
      </c>
      <c r="M27" s="20"/>
      <c r="N27" s="20">
        <f t="shared" si="0"/>
        <v>0</v>
      </c>
    </row>
    <row r="28" s="2" customFormat="1" ht="102" customHeight="1" spans="1:14">
      <c r="A28" s="9">
        <v>25</v>
      </c>
      <c r="B28" s="9" t="s">
        <v>66</v>
      </c>
      <c r="C28" s="9" t="s">
        <v>16</v>
      </c>
      <c r="D28" s="9" t="s">
        <v>74</v>
      </c>
      <c r="E28" s="9" t="s">
        <v>75</v>
      </c>
      <c r="F28" s="9" t="s">
        <v>19</v>
      </c>
      <c r="G28" s="9" t="str">
        <f>_xlfn.DISPIMG("ID_AE993F8EF97241D3B8891D7752DC8E98",1)</f>
        <v>=DISPIMG("ID_AE993F8EF97241D3B8891D7752DC8E98",1)</v>
      </c>
      <c r="H28" s="9" t="str">
        <f>_xlfn.DISPIMG("ID_5B256EF0E5554B1C82A20DDF56E34CC9",1)</f>
        <v>=DISPIMG("ID_5B256EF0E5554B1C82A20DDF56E34CC9",1)</v>
      </c>
      <c r="I28" s="18" t="s">
        <v>76</v>
      </c>
      <c r="J28" s="9" t="s">
        <v>21</v>
      </c>
      <c r="K28" s="9">
        <v>35</v>
      </c>
      <c r="L28" s="19">
        <v>590</v>
      </c>
      <c r="M28" s="20"/>
      <c r="N28" s="20">
        <f t="shared" si="0"/>
        <v>0</v>
      </c>
    </row>
    <row r="29" s="2" customFormat="1" ht="86" customHeight="1" spans="1:14">
      <c r="A29" s="9">
        <v>26</v>
      </c>
      <c r="B29" s="9" t="s">
        <v>66</v>
      </c>
      <c r="C29" s="9" t="s">
        <v>16</v>
      </c>
      <c r="D29" s="9" t="s">
        <v>77</v>
      </c>
      <c r="E29" s="9" t="s">
        <v>78</v>
      </c>
      <c r="F29" s="9" t="s">
        <v>19</v>
      </c>
      <c r="G29" s="9" t="str">
        <f>_xlfn.DISPIMG("ID_FBFE81879AB8466BA15BB7067CDC02B9",1)</f>
        <v>=DISPIMG("ID_FBFE81879AB8466BA15BB7067CDC02B9",1)</v>
      </c>
      <c r="H29" s="9" t="str">
        <f>_xlfn.DISPIMG("ID_EF1968438FBC4C539338096302D3C908",1)</f>
        <v>=DISPIMG("ID_EF1968438FBC4C539338096302D3C908",1)</v>
      </c>
      <c r="I29" s="18" t="s">
        <v>79</v>
      </c>
      <c r="J29" s="9" t="s">
        <v>21</v>
      </c>
      <c r="K29" s="9">
        <v>35</v>
      </c>
      <c r="L29" s="19">
        <v>420</v>
      </c>
      <c r="M29" s="20"/>
      <c r="N29" s="20">
        <f t="shared" si="0"/>
        <v>0</v>
      </c>
    </row>
    <row r="30" s="2" customFormat="1" ht="86" customHeight="1" spans="1:14">
      <c r="A30" s="9">
        <v>27</v>
      </c>
      <c r="B30" s="9" t="s">
        <v>66</v>
      </c>
      <c r="C30" s="9" t="s">
        <v>16</v>
      </c>
      <c r="D30" s="9" t="s">
        <v>77</v>
      </c>
      <c r="E30" s="9" t="s">
        <v>80</v>
      </c>
      <c r="F30" s="9" t="s">
        <v>19</v>
      </c>
      <c r="G30" s="9" t="str">
        <f>_xlfn.DISPIMG("ID_D854970D54C84ADEB21ACE479D097BDE",1)</f>
        <v>=DISPIMG("ID_D854970D54C84ADEB21ACE479D097BDE",1)</v>
      </c>
      <c r="H30" s="9" t="str">
        <f>_xlfn.DISPIMG("ID_64A2F787316843E4AFE024A33E53C414",1)</f>
        <v>=DISPIMG("ID_64A2F787316843E4AFE024A33E53C414",1)</v>
      </c>
      <c r="I30" s="18" t="s">
        <v>79</v>
      </c>
      <c r="J30" s="9" t="s">
        <v>21</v>
      </c>
      <c r="K30" s="9">
        <v>35</v>
      </c>
      <c r="L30" s="19">
        <v>350</v>
      </c>
      <c r="M30" s="20"/>
      <c r="N30" s="20">
        <f t="shared" si="0"/>
        <v>0</v>
      </c>
    </row>
    <row r="31" s="2" customFormat="1" ht="93" customHeight="1" spans="1:14">
      <c r="A31" s="9">
        <v>28</v>
      </c>
      <c r="B31" s="9" t="s">
        <v>66</v>
      </c>
      <c r="C31" s="9" t="s">
        <v>16</v>
      </c>
      <c r="D31" s="9" t="s">
        <v>81</v>
      </c>
      <c r="E31" s="9" t="s">
        <v>82</v>
      </c>
      <c r="F31" s="9" t="s">
        <v>19</v>
      </c>
      <c r="G31" s="9" t="str">
        <f>_xlfn.DISPIMG("ID_6983408906E1426EA3CDD0DB01D6BEEE",1)</f>
        <v>=DISPIMG("ID_6983408906E1426EA3CDD0DB01D6BEEE",1)</v>
      </c>
      <c r="H31" s="9" t="str">
        <f>_xlfn.DISPIMG("ID_E7233FA6ED204E559622E33483378300",1)</f>
        <v>=DISPIMG("ID_E7233FA6ED204E559622E33483378300",1)</v>
      </c>
      <c r="I31" s="18" t="s">
        <v>83</v>
      </c>
      <c r="J31" s="9" t="s">
        <v>21</v>
      </c>
      <c r="K31" s="9">
        <v>35</v>
      </c>
      <c r="L31" s="19">
        <v>80</v>
      </c>
      <c r="M31" s="20"/>
      <c r="N31" s="20">
        <f t="shared" si="0"/>
        <v>0</v>
      </c>
    </row>
    <row r="32" s="2" customFormat="1" ht="93" customHeight="1" spans="1:14">
      <c r="A32" s="9">
        <v>29</v>
      </c>
      <c r="B32" s="9" t="s">
        <v>66</v>
      </c>
      <c r="C32" s="9" t="s">
        <v>16</v>
      </c>
      <c r="D32" s="9" t="s">
        <v>81</v>
      </c>
      <c r="E32" s="9" t="s">
        <v>84</v>
      </c>
      <c r="F32" s="9" t="s">
        <v>19</v>
      </c>
      <c r="G32" s="9" t="str">
        <f>_xlfn.DISPIMG("ID_DD332122262649FD8B261FA32642892D",1)</f>
        <v>=DISPIMG("ID_DD332122262649FD8B261FA32642892D",1)</v>
      </c>
      <c r="H32" s="9" t="str">
        <f>_xlfn.DISPIMG("ID_7900B318D579443FBECF895438EB4098",1)</f>
        <v>=DISPIMG("ID_7900B318D579443FBECF895438EB4098",1)</v>
      </c>
      <c r="I32" s="18" t="s">
        <v>85</v>
      </c>
      <c r="J32" s="9" t="s">
        <v>21</v>
      </c>
      <c r="K32" s="9">
        <v>35</v>
      </c>
      <c r="L32" s="19">
        <v>70</v>
      </c>
      <c r="M32" s="20"/>
      <c r="N32" s="20">
        <f t="shared" si="0"/>
        <v>0</v>
      </c>
    </row>
    <row r="33" s="2" customFormat="1" ht="94" customHeight="1" spans="1:14">
      <c r="A33" s="9">
        <v>30</v>
      </c>
      <c r="B33" s="9" t="s">
        <v>66</v>
      </c>
      <c r="C33" s="9" t="s">
        <v>16</v>
      </c>
      <c r="D33" s="9" t="s">
        <v>86</v>
      </c>
      <c r="E33" s="9" t="s">
        <v>87</v>
      </c>
      <c r="F33" s="9" t="s">
        <v>19</v>
      </c>
      <c r="G33" s="9" t="str">
        <f>_xlfn.DISPIMG("ID_66C69C2B430440EDBAE60C66CD32C1A9",1)</f>
        <v>=DISPIMG("ID_66C69C2B430440EDBAE60C66CD32C1A9",1)</v>
      </c>
      <c r="H33" s="9" t="str">
        <f>_xlfn.DISPIMG("ID_5E6D8556E63F4E8FB535A7FD7142EC95",1)</f>
        <v>=DISPIMG("ID_5E6D8556E63F4E8FB535A7FD7142EC95",1)</v>
      </c>
      <c r="I33" s="18" t="s">
        <v>88</v>
      </c>
      <c r="J33" s="9" t="s">
        <v>21</v>
      </c>
      <c r="K33" s="9">
        <v>35</v>
      </c>
      <c r="L33" s="19">
        <v>78</v>
      </c>
      <c r="M33" s="20"/>
      <c r="N33" s="20">
        <f t="shared" si="0"/>
        <v>0</v>
      </c>
    </row>
    <row r="34" s="2" customFormat="1" ht="94" customHeight="1" spans="1:14">
      <c r="A34" s="9">
        <v>31</v>
      </c>
      <c r="B34" s="9" t="s">
        <v>66</v>
      </c>
      <c r="C34" s="9" t="s">
        <v>16</v>
      </c>
      <c r="D34" s="9" t="s">
        <v>86</v>
      </c>
      <c r="E34" s="9" t="s">
        <v>89</v>
      </c>
      <c r="F34" s="9" t="s">
        <v>19</v>
      </c>
      <c r="G34" s="9" t="str">
        <f>_xlfn.DISPIMG("ID_E62CD4566F404F3084FACBA646B7F8C6",1)</f>
        <v>=DISPIMG("ID_E62CD4566F404F3084FACBA646B7F8C6",1)</v>
      </c>
      <c r="H34" s="9" t="str">
        <f>_xlfn.DISPIMG("ID_F8CC97B382734680A4E2E6F79AC39E28",1)</f>
        <v>=DISPIMG("ID_F8CC97B382734680A4E2E6F79AC39E28",1)</v>
      </c>
      <c r="I34" s="18" t="s">
        <v>90</v>
      </c>
      <c r="J34" s="9" t="s">
        <v>21</v>
      </c>
      <c r="K34" s="9">
        <v>35</v>
      </c>
      <c r="L34" s="19">
        <v>91</v>
      </c>
      <c r="M34" s="20"/>
      <c r="N34" s="20">
        <f t="shared" si="0"/>
        <v>0</v>
      </c>
    </row>
    <row r="35" s="2" customFormat="1" ht="94" customHeight="1" spans="1:14">
      <c r="A35" s="9">
        <v>32</v>
      </c>
      <c r="B35" s="9" t="s">
        <v>66</v>
      </c>
      <c r="C35" s="9" t="s">
        <v>16</v>
      </c>
      <c r="D35" s="9" t="s">
        <v>86</v>
      </c>
      <c r="E35" s="9" t="s">
        <v>91</v>
      </c>
      <c r="F35" s="9" t="s">
        <v>19</v>
      </c>
      <c r="G35" s="9" t="str">
        <f>_xlfn.DISPIMG("ID_86AE689B97D34AAB850D4C138FC5C349",1)</f>
        <v>=DISPIMG("ID_86AE689B97D34AAB850D4C138FC5C349",1)</v>
      </c>
      <c r="H35" s="9" t="str">
        <f>_xlfn.DISPIMG("ID_CF725E816A6A41A5A98514B75E06FE99",1)</f>
        <v>=DISPIMG("ID_CF725E816A6A41A5A98514B75E06FE99",1)</v>
      </c>
      <c r="I35" s="18" t="s">
        <v>88</v>
      </c>
      <c r="J35" s="9" t="s">
        <v>21</v>
      </c>
      <c r="K35" s="9">
        <v>35</v>
      </c>
      <c r="L35" s="19">
        <v>145</v>
      </c>
      <c r="M35" s="20"/>
      <c r="N35" s="20">
        <f t="shared" si="0"/>
        <v>0</v>
      </c>
    </row>
    <row r="36" s="2" customFormat="1" ht="94" customHeight="1" spans="1:14">
      <c r="A36" s="9">
        <v>33</v>
      </c>
      <c r="B36" s="9" t="s">
        <v>66</v>
      </c>
      <c r="C36" s="9" t="s">
        <v>16</v>
      </c>
      <c r="D36" s="9" t="s">
        <v>86</v>
      </c>
      <c r="E36" s="9" t="s">
        <v>92</v>
      </c>
      <c r="F36" s="9" t="s">
        <v>19</v>
      </c>
      <c r="G36" s="9" t="str">
        <f>_xlfn.DISPIMG("ID_493FEE0F06F147A2986681FFBFBAD87C",1)</f>
        <v>=DISPIMG("ID_493FEE0F06F147A2986681FFBFBAD87C",1)</v>
      </c>
      <c r="H36" s="9" t="str">
        <f>_xlfn.DISPIMG("ID_DE7BBC611E904468B867559E1DD30761",1)</f>
        <v>=DISPIMG("ID_DE7BBC611E904468B867559E1DD30761",1)</v>
      </c>
      <c r="I36" s="18" t="s">
        <v>90</v>
      </c>
      <c r="J36" s="9" t="s">
        <v>21</v>
      </c>
      <c r="K36" s="9">
        <v>35</v>
      </c>
      <c r="L36" s="19">
        <v>231</v>
      </c>
      <c r="M36" s="20"/>
      <c r="N36" s="20">
        <f t="shared" si="0"/>
        <v>0</v>
      </c>
    </row>
    <row r="37" s="2" customFormat="1" ht="94" customHeight="1" spans="1:14">
      <c r="A37" s="9">
        <v>34</v>
      </c>
      <c r="B37" s="9" t="s">
        <v>66</v>
      </c>
      <c r="C37" s="9" t="s">
        <v>16</v>
      </c>
      <c r="D37" s="9" t="s">
        <v>86</v>
      </c>
      <c r="E37" s="9" t="s">
        <v>93</v>
      </c>
      <c r="F37" s="9" t="s">
        <v>19</v>
      </c>
      <c r="G37" s="9" t="str">
        <f>_xlfn.DISPIMG("ID_EC43C1988FF84C83B428B5B348E55F6D",1)</f>
        <v>=DISPIMG("ID_EC43C1988FF84C83B428B5B348E55F6D",1)</v>
      </c>
      <c r="H37" s="9" t="str">
        <f>_xlfn.DISPIMG("ID_DF5761CAF03B4BB083B8B09B4FAC6007",1)</f>
        <v>=DISPIMG("ID_DF5761CAF03B4BB083B8B09B4FAC6007",1)</v>
      </c>
      <c r="I37" s="18" t="s">
        <v>94</v>
      </c>
      <c r="J37" s="9" t="s">
        <v>21</v>
      </c>
      <c r="K37" s="9">
        <v>35</v>
      </c>
      <c r="L37" s="19">
        <v>280</v>
      </c>
      <c r="M37" s="20"/>
      <c r="N37" s="20">
        <f t="shared" ref="N37:N68" si="1">K37*M37</f>
        <v>0</v>
      </c>
    </row>
    <row r="38" s="2" customFormat="1" ht="94" customHeight="1" spans="1:14">
      <c r="A38" s="9">
        <v>35</v>
      </c>
      <c r="B38" s="9" t="s">
        <v>66</v>
      </c>
      <c r="C38" s="9" t="s">
        <v>16</v>
      </c>
      <c r="D38" s="9" t="s">
        <v>95</v>
      </c>
      <c r="E38" s="9" t="s">
        <v>96</v>
      </c>
      <c r="F38" s="9" t="s">
        <v>19</v>
      </c>
      <c r="G38" s="9" t="str">
        <f>_xlfn.DISPIMG("ID_D09A8D0326914A0DB8C31BD3FD12698E",1)</f>
        <v>=DISPIMG("ID_D09A8D0326914A0DB8C31BD3FD12698E",1)</v>
      </c>
      <c r="H38" s="9" t="str">
        <f>_xlfn.DISPIMG("ID_11523355D5C242D9AEB7A84A70450108",1)</f>
        <v>=DISPIMG("ID_11523355D5C242D9AEB7A84A70450108",1)</v>
      </c>
      <c r="I38" s="18" t="s">
        <v>97</v>
      </c>
      <c r="J38" s="9" t="s">
        <v>21</v>
      </c>
      <c r="K38" s="9">
        <v>35</v>
      </c>
      <c r="L38" s="19">
        <v>1300</v>
      </c>
      <c r="M38" s="20"/>
      <c r="N38" s="20">
        <f t="shared" si="1"/>
        <v>0</v>
      </c>
    </row>
    <row r="39" s="2" customFormat="1" ht="94" customHeight="1" spans="1:14">
      <c r="A39" s="9">
        <v>36</v>
      </c>
      <c r="B39" s="9" t="s">
        <v>66</v>
      </c>
      <c r="C39" s="9" t="s">
        <v>16</v>
      </c>
      <c r="D39" s="9" t="s">
        <v>95</v>
      </c>
      <c r="E39" s="9" t="s">
        <v>98</v>
      </c>
      <c r="F39" s="9" t="s">
        <v>19</v>
      </c>
      <c r="G39" s="9" t="str">
        <f>_xlfn.DISPIMG("ID_AA26CE5938394739B9AF267B56768720",1)</f>
        <v>=DISPIMG("ID_AA26CE5938394739B9AF267B56768720",1)</v>
      </c>
      <c r="H39" s="9" t="str">
        <f>_xlfn.DISPIMG("ID_381E8C4681D349A3993D56E79D97755C",1)</f>
        <v>=DISPIMG("ID_381E8C4681D349A3993D56E79D97755C",1)</v>
      </c>
      <c r="I39" s="18" t="s">
        <v>97</v>
      </c>
      <c r="J39" s="9" t="s">
        <v>21</v>
      </c>
      <c r="K39" s="9">
        <v>35</v>
      </c>
      <c r="L39" s="19">
        <v>1150</v>
      </c>
      <c r="M39" s="20"/>
      <c r="N39" s="20">
        <f t="shared" si="1"/>
        <v>0</v>
      </c>
    </row>
    <row r="40" s="2" customFormat="1" ht="94" customHeight="1" spans="1:14">
      <c r="A40" s="9">
        <v>37</v>
      </c>
      <c r="B40" s="9" t="s">
        <v>66</v>
      </c>
      <c r="C40" s="9" t="s">
        <v>16</v>
      </c>
      <c r="D40" s="9" t="s">
        <v>95</v>
      </c>
      <c r="E40" s="9" t="s">
        <v>99</v>
      </c>
      <c r="F40" s="9" t="s">
        <v>19</v>
      </c>
      <c r="G40" s="9" t="str">
        <f>_xlfn.DISPIMG("ID_BEEA30ABEC1C44199AB21BBEEB9721C7",1)</f>
        <v>=DISPIMG("ID_BEEA30ABEC1C44199AB21BBEEB9721C7",1)</v>
      </c>
      <c r="H40" s="9" t="str">
        <f>_xlfn.DISPIMG("ID_51B24B9700D64F429D1A0A35BA9D4862",1)</f>
        <v>=DISPIMG("ID_51B24B9700D64F429D1A0A35BA9D4862",1)</v>
      </c>
      <c r="I40" s="18" t="s">
        <v>97</v>
      </c>
      <c r="J40" s="9" t="s">
        <v>21</v>
      </c>
      <c r="K40" s="9">
        <v>35</v>
      </c>
      <c r="L40" s="19">
        <v>515</v>
      </c>
      <c r="M40" s="20"/>
      <c r="N40" s="20">
        <f t="shared" si="1"/>
        <v>0</v>
      </c>
    </row>
    <row r="41" s="2" customFormat="1" ht="94" customHeight="1" spans="1:14">
      <c r="A41" s="9">
        <v>38</v>
      </c>
      <c r="B41" s="9" t="s">
        <v>66</v>
      </c>
      <c r="C41" s="9" t="s">
        <v>16</v>
      </c>
      <c r="D41" s="9" t="s">
        <v>95</v>
      </c>
      <c r="E41" s="9" t="s">
        <v>100</v>
      </c>
      <c r="F41" s="9" t="s">
        <v>19</v>
      </c>
      <c r="G41" s="9" t="str">
        <f>_xlfn.DISPIMG("ID_68AF1B45F4864961AB6739283F0A0D6D",1)</f>
        <v>=DISPIMG("ID_68AF1B45F4864961AB6739283F0A0D6D",1)</v>
      </c>
      <c r="H41" s="9" t="str">
        <f>_xlfn.DISPIMG("ID_18B659B3210D4489BBCB4B9C98950C3F",1)</f>
        <v>=DISPIMG("ID_18B659B3210D4489BBCB4B9C98950C3F",1)</v>
      </c>
      <c r="I41" s="18" t="s">
        <v>97</v>
      </c>
      <c r="J41" s="9" t="s">
        <v>21</v>
      </c>
      <c r="K41" s="9">
        <v>35</v>
      </c>
      <c r="L41" s="19">
        <v>430</v>
      </c>
      <c r="M41" s="20"/>
      <c r="N41" s="20">
        <f t="shared" si="1"/>
        <v>0</v>
      </c>
    </row>
    <row r="42" s="2" customFormat="1" ht="94" customHeight="1" spans="1:14">
      <c r="A42" s="9">
        <v>39</v>
      </c>
      <c r="B42" s="9" t="s">
        <v>66</v>
      </c>
      <c r="C42" s="9" t="s">
        <v>16</v>
      </c>
      <c r="D42" s="9" t="s">
        <v>101</v>
      </c>
      <c r="E42" s="9" t="s">
        <v>102</v>
      </c>
      <c r="F42" s="9" t="s">
        <v>19</v>
      </c>
      <c r="G42" s="9" t="str">
        <f>_xlfn.DISPIMG("ID_424D31984A934E95BCA0A05D23343E94",1)</f>
        <v>=DISPIMG("ID_424D31984A934E95BCA0A05D23343E94",1)</v>
      </c>
      <c r="H42" s="9" t="str">
        <f>_xlfn.DISPIMG("ID_8022CC49DCB84FCB8DE10071201F7CFD",1)</f>
        <v>=DISPIMG("ID_8022CC49DCB84FCB8DE10071201F7CFD",1)</v>
      </c>
      <c r="I42" s="18" t="s">
        <v>103</v>
      </c>
      <c r="J42" s="9" t="s">
        <v>21</v>
      </c>
      <c r="K42" s="9">
        <v>35</v>
      </c>
      <c r="L42" s="19">
        <v>245</v>
      </c>
      <c r="M42" s="20"/>
      <c r="N42" s="20">
        <f t="shared" si="1"/>
        <v>0</v>
      </c>
    </row>
    <row r="43" s="2" customFormat="1" ht="94" customHeight="1" spans="1:14">
      <c r="A43" s="9">
        <v>40</v>
      </c>
      <c r="B43" s="9" t="s">
        <v>66</v>
      </c>
      <c r="C43" s="9" t="s">
        <v>16</v>
      </c>
      <c r="D43" s="9" t="s">
        <v>101</v>
      </c>
      <c r="E43" s="9" t="s">
        <v>104</v>
      </c>
      <c r="F43" s="9" t="s">
        <v>19</v>
      </c>
      <c r="G43" s="9" t="str">
        <f>_xlfn.DISPIMG("ID_4FBBB2B11764464AA2AC10318D06344A",1)</f>
        <v>=DISPIMG("ID_4FBBB2B11764464AA2AC10318D06344A",1)</v>
      </c>
      <c r="H43" s="9" t="str">
        <f>_xlfn.DISPIMG("ID_00C6533626F44978B1DD925FE24A8CAE",1)</f>
        <v>=DISPIMG("ID_00C6533626F44978B1DD925FE24A8CAE",1)</v>
      </c>
      <c r="I43" s="18" t="s">
        <v>103</v>
      </c>
      <c r="J43" s="9" t="s">
        <v>21</v>
      </c>
      <c r="K43" s="9">
        <v>35</v>
      </c>
      <c r="L43" s="19">
        <v>195</v>
      </c>
      <c r="M43" s="20"/>
      <c r="N43" s="20">
        <f t="shared" si="1"/>
        <v>0</v>
      </c>
    </row>
    <row r="44" s="2" customFormat="1" ht="94" customHeight="1" spans="1:14">
      <c r="A44" s="9">
        <v>41</v>
      </c>
      <c r="B44" s="9" t="s">
        <v>66</v>
      </c>
      <c r="C44" s="9" t="s">
        <v>16</v>
      </c>
      <c r="D44" s="9" t="s">
        <v>105</v>
      </c>
      <c r="E44" s="9" t="s">
        <v>106</v>
      </c>
      <c r="F44" s="9" t="s">
        <v>19</v>
      </c>
      <c r="G44" s="9" t="str">
        <f>_xlfn.DISPIMG("ID_E06A578B21834CA69D01CF44F0AC299C",1)</f>
        <v>=DISPIMG("ID_E06A578B21834CA69D01CF44F0AC299C",1)</v>
      </c>
      <c r="H44" s="9" t="str">
        <f>_xlfn.DISPIMG("ID_8791860B19314740B2843D5867CE6C42",1)</f>
        <v>=DISPIMG("ID_8791860B19314740B2843D5867CE6C42",1)</v>
      </c>
      <c r="I44" s="18" t="s">
        <v>107</v>
      </c>
      <c r="J44" s="9" t="s">
        <v>21</v>
      </c>
      <c r="K44" s="9">
        <v>35</v>
      </c>
      <c r="L44" s="19">
        <v>2980</v>
      </c>
      <c r="M44" s="20"/>
      <c r="N44" s="20">
        <f t="shared" si="1"/>
        <v>0</v>
      </c>
    </row>
    <row r="45" s="2" customFormat="1" ht="94" customHeight="1" spans="1:14">
      <c r="A45" s="9">
        <v>42</v>
      </c>
      <c r="B45" s="9" t="s">
        <v>66</v>
      </c>
      <c r="C45" s="9" t="s">
        <v>16</v>
      </c>
      <c r="D45" s="9" t="s">
        <v>108</v>
      </c>
      <c r="E45" s="9" t="s">
        <v>109</v>
      </c>
      <c r="F45" s="9" t="s">
        <v>19</v>
      </c>
      <c r="G45" s="9" t="str">
        <f>_xlfn.DISPIMG("ID_ECFFC9B04AA1410C86FEB0968A34F182",1)</f>
        <v>=DISPIMG("ID_ECFFC9B04AA1410C86FEB0968A34F182",1)</v>
      </c>
      <c r="H45" s="9" t="str">
        <f>_xlfn.DISPIMG("ID_CFA64CF1F39448F2AD58BDE099241BE0",1)</f>
        <v>=DISPIMG("ID_CFA64CF1F39448F2AD58BDE099241BE0",1)</v>
      </c>
      <c r="I45" s="18" t="s">
        <v>110</v>
      </c>
      <c r="J45" s="9" t="s">
        <v>21</v>
      </c>
      <c r="K45" s="9">
        <v>35</v>
      </c>
      <c r="L45" s="19">
        <v>420</v>
      </c>
      <c r="M45" s="20"/>
      <c r="N45" s="20">
        <f t="shared" si="1"/>
        <v>0</v>
      </c>
    </row>
    <row r="46" s="2" customFormat="1" ht="94" customHeight="1" spans="1:14">
      <c r="A46" s="9">
        <v>43</v>
      </c>
      <c r="B46" s="9" t="s">
        <v>66</v>
      </c>
      <c r="C46" s="9" t="s">
        <v>16</v>
      </c>
      <c r="D46" s="9" t="s">
        <v>108</v>
      </c>
      <c r="E46" s="9" t="s">
        <v>111</v>
      </c>
      <c r="F46" s="9" t="s">
        <v>19</v>
      </c>
      <c r="G46" s="9" t="str">
        <f>_xlfn.DISPIMG("ID_155F905F67B042D494B6EBB99ACDDD2E",1)</f>
        <v>=DISPIMG("ID_155F905F67B042D494B6EBB99ACDDD2E",1)</v>
      </c>
      <c r="H46" s="9" t="str">
        <f>_xlfn.DISPIMG("ID_9570243D18C54B9285CA630201157913",1)</f>
        <v>=DISPIMG("ID_9570243D18C54B9285CA630201157913",1)</v>
      </c>
      <c r="I46" s="18" t="s">
        <v>110</v>
      </c>
      <c r="J46" s="9" t="s">
        <v>21</v>
      </c>
      <c r="K46" s="9">
        <v>35</v>
      </c>
      <c r="L46" s="19">
        <v>380</v>
      </c>
      <c r="M46" s="20"/>
      <c r="N46" s="20">
        <f t="shared" si="1"/>
        <v>0</v>
      </c>
    </row>
    <row r="47" s="2" customFormat="1" ht="81" customHeight="1" spans="1:14">
      <c r="A47" s="9">
        <v>44</v>
      </c>
      <c r="B47" s="9" t="s">
        <v>66</v>
      </c>
      <c r="C47" s="9" t="s">
        <v>16</v>
      </c>
      <c r="D47" s="9" t="s">
        <v>112</v>
      </c>
      <c r="E47" s="9" t="s">
        <v>113</v>
      </c>
      <c r="F47" s="9" t="s">
        <v>19</v>
      </c>
      <c r="G47" s="9" t="str">
        <f>_xlfn.DISPIMG("ID_87A55F656B514F23A296C59963B0ED1D",1)</f>
        <v>=DISPIMG("ID_87A55F656B514F23A296C59963B0ED1D",1)</v>
      </c>
      <c r="H47" s="9" t="str">
        <f>_xlfn.DISPIMG("ID_8AC5C5FA5D1040D0ABD1537607CCC751",1)</f>
        <v>=DISPIMG("ID_8AC5C5FA5D1040D0ABD1537607CCC751",1)</v>
      </c>
      <c r="I47" s="18" t="s">
        <v>114</v>
      </c>
      <c r="J47" s="9" t="s">
        <v>21</v>
      </c>
      <c r="K47" s="9">
        <v>35</v>
      </c>
      <c r="L47" s="19">
        <v>110</v>
      </c>
      <c r="M47" s="20"/>
      <c r="N47" s="20">
        <f t="shared" si="1"/>
        <v>0</v>
      </c>
    </row>
    <row r="48" s="2" customFormat="1" ht="81" customHeight="1" spans="1:14">
      <c r="A48" s="9">
        <v>45</v>
      </c>
      <c r="B48" s="9" t="s">
        <v>66</v>
      </c>
      <c r="C48" s="9" t="s">
        <v>16</v>
      </c>
      <c r="D48" s="9" t="s">
        <v>112</v>
      </c>
      <c r="E48" s="9" t="s">
        <v>115</v>
      </c>
      <c r="F48" s="9" t="s">
        <v>19</v>
      </c>
      <c r="G48" s="9" t="str">
        <f>_xlfn.DISPIMG("ID_7EE0BD28AF7545EEBA923657284695E7",1)</f>
        <v>=DISPIMG("ID_7EE0BD28AF7545EEBA923657284695E7",1)</v>
      </c>
      <c r="H48" s="9" t="str">
        <f>_xlfn.DISPIMG("ID_E41CB43CC4214EF08193534F8A0C13BD",1)</f>
        <v>=DISPIMG("ID_E41CB43CC4214EF08193534F8A0C13BD",1)</v>
      </c>
      <c r="I48" s="18" t="s">
        <v>114</v>
      </c>
      <c r="J48" s="9" t="s">
        <v>21</v>
      </c>
      <c r="K48" s="9">
        <v>35</v>
      </c>
      <c r="L48" s="19">
        <v>102</v>
      </c>
      <c r="M48" s="20"/>
      <c r="N48" s="20">
        <f t="shared" si="1"/>
        <v>0</v>
      </c>
    </row>
    <row r="49" s="2" customFormat="1" ht="94" customHeight="1" spans="1:14">
      <c r="A49" s="9">
        <v>46</v>
      </c>
      <c r="B49" s="9" t="s">
        <v>116</v>
      </c>
      <c r="C49" s="9" t="s">
        <v>16</v>
      </c>
      <c r="D49" s="9" t="s">
        <v>117</v>
      </c>
      <c r="E49" s="9" t="s">
        <v>118</v>
      </c>
      <c r="F49" s="9" t="s">
        <v>19</v>
      </c>
      <c r="G49" s="9" t="str">
        <f>_xlfn.DISPIMG("ID_5AEC67826C5148B381466788375CB271",1)</f>
        <v>=DISPIMG("ID_5AEC67826C5148B381466788375CB271",1)</v>
      </c>
      <c r="H49" s="9" t="str">
        <f>_xlfn.DISPIMG("ID_B418E9BFEDE142608F9B2295D354E521",1)</f>
        <v>=DISPIMG("ID_B418E9BFEDE142608F9B2295D354E521",1)</v>
      </c>
      <c r="I49" s="18" t="s">
        <v>119</v>
      </c>
      <c r="J49" s="9" t="s">
        <v>21</v>
      </c>
      <c r="K49" s="9">
        <v>35</v>
      </c>
      <c r="L49" s="19">
        <v>1350</v>
      </c>
      <c r="M49" s="20"/>
      <c r="N49" s="20">
        <f t="shared" si="1"/>
        <v>0</v>
      </c>
    </row>
    <row r="50" s="2" customFormat="1" ht="94" customHeight="1" spans="1:14">
      <c r="A50" s="9">
        <v>47</v>
      </c>
      <c r="B50" s="9" t="s">
        <v>116</v>
      </c>
      <c r="C50" s="9" t="s">
        <v>16</v>
      </c>
      <c r="D50" s="9" t="s">
        <v>117</v>
      </c>
      <c r="E50" s="9" t="s">
        <v>120</v>
      </c>
      <c r="F50" s="9" t="s">
        <v>19</v>
      </c>
      <c r="G50" s="9" t="str">
        <f>_xlfn.DISPIMG("ID_A8480A45204C45FAB87ED0A110FDB41B",1)</f>
        <v>=DISPIMG("ID_A8480A45204C45FAB87ED0A110FDB41B",1)</v>
      </c>
      <c r="H50" s="9" t="str">
        <f>_xlfn.DISPIMG("ID_1D1102C9B4E64B1CADD13B946A602651",1)</f>
        <v>=DISPIMG("ID_1D1102C9B4E64B1CADD13B946A602651",1)</v>
      </c>
      <c r="I50" s="18" t="s">
        <v>119</v>
      </c>
      <c r="J50" s="9" t="s">
        <v>21</v>
      </c>
      <c r="K50" s="9">
        <v>35</v>
      </c>
      <c r="L50" s="19">
        <v>1550</v>
      </c>
      <c r="M50" s="20"/>
      <c r="N50" s="20">
        <f t="shared" si="1"/>
        <v>0</v>
      </c>
    </row>
    <row r="51" s="2" customFormat="1" ht="94" customHeight="1" spans="1:14">
      <c r="A51" s="9">
        <v>48</v>
      </c>
      <c r="B51" s="9" t="s">
        <v>116</v>
      </c>
      <c r="C51" s="9" t="s">
        <v>16</v>
      </c>
      <c r="D51" s="9" t="s">
        <v>121</v>
      </c>
      <c r="E51" s="9" t="s">
        <v>122</v>
      </c>
      <c r="F51" s="9" t="s">
        <v>19</v>
      </c>
      <c r="G51" s="9"/>
      <c r="H51" s="9"/>
      <c r="I51" s="18" t="s">
        <v>123</v>
      </c>
      <c r="J51" s="9" t="s">
        <v>21</v>
      </c>
      <c r="K51" s="9">
        <v>35</v>
      </c>
      <c r="L51" s="19">
        <v>320</v>
      </c>
      <c r="M51" s="20"/>
      <c r="N51" s="20">
        <f t="shared" si="1"/>
        <v>0</v>
      </c>
    </row>
    <row r="52" s="2" customFormat="1" ht="104" customHeight="1" spans="1:14">
      <c r="A52" s="9">
        <v>49</v>
      </c>
      <c r="B52" s="9" t="s">
        <v>116</v>
      </c>
      <c r="C52" s="9" t="s">
        <v>16</v>
      </c>
      <c r="D52" s="9" t="s">
        <v>124</v>
      </c>
      <c r="E52" s="9" t="s">
        <v>125</v>
      </c>
      <c r="F52" s="9" t="s">
        <v>19</v>
      </c>
      <c r="G52" s="9" t="str">
        <f>_xlfn.DISPIMG("ID_30DC6DFEFCB9465C972734C38A79E6EC",1)</f>
        <v>=DISPIMG("ID_30DC6DFEFCB9465C972734C38A79E6EC",1)</v>
      </c>
      <c r="H52" s="9" t="str">
        <f>_xlfn.DISPIMG("ID_062BE3AB32F447669B32BE2331763DDE",1)</f>
        <v>=DISPIMG("ID_062BE3AB32F447669B32BE2331763DDE",1)</v>
      </c>
      <c r="I52" s="18" t="s">
        <v>126</v>
      </c>
      <c r="J52" s="9" t="s">
        <v>21</v>
      </c>
      <c r="K52" s="9">
        <v>35</v>
      </c>
      <c r="L52" s="19">
        <v>550</v>
      </c>
      <c r="M52" s="20"/>
      <c r="N52" s="20">
        <f t="shared" si="1"/>
        <v>0</v>
      </c>
    </row>
    <row r="53" s="2" customFormat="1" ht="94" customHeight="1" spans="1:14">
      <c r="A53" s="9">
        <v>50</v>
      </c>
      <c r="B53" s="9" t="s">
        <v>116</v>
      </c>
      <c r="C53" s="9" t="s">
        <v>16</v>
      </c>
      <c r="D53" s="9" t="s">
        <v>124</v>
      </c>
      <c r="E53" s="9" t="s">
        <v>127</v>
      </c>
      <c r="F53" s="9" t="s">
        <v>19</v>
      </c>
      <c r="G53" s="10" t="str">
        <f>_xlfn.DISPIMG("ID_0A56AED46C654CCC9C1F07BCD8A18190",1)</f>
        <v>=DISPIMG("ID_0A56AED46C654CCC9C1F07BCD8A18190",1)</v>
      </c>
      <c r="H53" s="10" t="str">
        <f>_xlfn.DISPIMG("ID_1439E16651164FC382BB9FB22F607A97",1)</f>
        <v>=DISPIMG("ID_1439E16651164FC382BB9FB22F607A97",1)</v>
      </c>
      <c r="I53" s="18" t="s">
        <v>128</v>
      </c>
      <c r="J53" s="9" t="s">
        <v>21</v>
      </c>
      <c r="K53" s="9">
        <v>35</v>
      </c>
      <c r="L53" s="19">
        <v>350</v>
      </c>
      <c r="M53" s="20"/>
      <c r="N53" s="20">
        <f t="shared" si="1"/>
        <v>0</v>
      </c>
    </row>
    <row r="54" s="2" customFormat="1" ht="94" customHeight="1" spans="1:14">
      <c r="A54" s="9">
        <v>51</v>
      </c>
      <c r="B54" s="9" t="s">
        <v>116</v>
      </c>
      <c r="C54" s="9" t="s">
        <v>16</v>
      </c>
      <c r="D54" s="9" t="s">
        <v>124</v>
      </c>
      <c r="E54" s="9" t="s">
        <v>129</v>
      </c>
      <c r="F54" s="9" t="s">
        <v>19</v>
      </c>
      <c r="G54" s="10" t="str">
        <f>_xlfn.DISPIMG("ID_4F586AA10EBE47DEB82B342E2E88AEB3",1)</f>
        <v>=DISPIMG("ID_4F586AA10EBE47DEB82B342E2E88AEB3",1)</v>
      </c>
      <c r="H54" s="10" t="str">
        <f>_xlfn.DISPIMG("ID_6EEC6322234249DEA17F601E516945B5",1)</f>
        <v>=DISPIMG("ID_6EEC6322234249DEA17F601E516945B5",1)</v>
      </c>
      <c r="I54" s="18" t="s">
        <v>128</v>
      </c>
      <c r="J54" s="9" t="s">
        <v>21</v>
      </c>
      <c r="K54" s="9">
        <v>35</v>
      </c>
      <c r="L54" s="19">
        <v>575</v>
      </c>
      <c r="M54" s="20"/>
      <c r="N54" s="20">
        <f t="shared" si="1"/>
        <v>0</v>
      </c>
    </row>
    <row r="55" s="2" customFormat="1" ht="94" customHeight="1" spans="1:14">
      <c r="A55" s="9">
        <v>52</v>
      </c>
      <c r="B55" s="9" t="s">
        <v>116</v>
      </c>
      <c r="C55" s="9" t="s">
        <v>16</v>
      </c>
      <c r="D55" s="9" t="s">
        <v>124</v>
      </c>
      <c r="E55" s="9" t="s">
        <v>130</v>
      </c>
      <c r="F55" s="9" t="s">
        <v>19</v>
      </c>
      <c r="G55" s="10" t="str">
        <f>_xlfn.DISPIMG("ID_B2BC0906F8194F7587F38B918C7F8EEF",1)</f>
        <v>=DISPIMG("ID_B2BC0906F8194F7587F38B918C7F8EEF",1)</v>
      </c>
      <c r="H55" s="10" t="str">
        <f>_xlfn.DISPIMG("ID_BEA0000A15F04479BE36E3B87C2BE4BA",1)</f>
        <v>=DISPIMG("ID_BEA0000A15F04479BE36E3B87C2BE4BA",1)</v>
      </c>
      <c r="I55" s="18" t="s">
        <v>128</v>
      </c>
      <c r="J55" s="9" t="s">
        <v>21</v>
      </c>
      <c r="K55" s="9">
        <v>35</v>
      </c>
      <c r="L55" s="19">
        <v>780</v>
      </c>
      <c r="M55" s="20"/>
      <c r="N55" s="20">
        <f t="shared" si="1"/>
        <v>0</v>
      </c>
    </row>
    <row r="56" s="2" customFormat="1" ht="94" customHeight="1" spans="1:14">
      <c r="A56" s="9">
        <v>53</v>
      </c>
      <c r="B56" s="9" t="s">
        <v>116</v>
      </c>
      <c r="C56" s="9" t="s">
        <v>16</v>
      </c>
      <c r="D56" s="9" t="s">
        <v>124</v>
      </c>
      <c r="E56" s="9" t="s">
        <v>131</v>
      </c>
      <c r="F56" s="9" t="s">
        <v>19</v>
      </c>
      <c r="G56" s="10" t="str">
        <f>_xlfn.DISPIMG("ID_DD2E9A63FAD744A9832C6A4CFCA30A70",1)</f>
        <v>=DISPIMG("ID_DD2E9A63FAD744A9832C6A4CFCA30A70",1)</v>
      </c>
      <c r="H56" s="10" t="str">
        <f>_xlfn.DISPIMG("ID_DD02EA3BFEDE41CC9E056B1B3E5E860E",1)</f>
        <v>=DISPIMG("ID_DD02EA3BFEDE41CC9E056B1B3E5E860E",1)</v>
      </c>
      <c r="I56" s="18" t="s">
        <v>128</v>
      </c>
      <c r="J56" s="9" t="s">
        <v>21</v>
      </c>
      <c r="K56" s="9">
        <v>35</v>
      </c>
      <c r="L56" s="19">
        <v>1142</v>
      </c>
      <c r="M56" s="20"/>
      <c r="N56" s="20">
        <f t="shared" si="1"/>
        <v>0</v>
      </c>
    </row>
    <row r="57" s="2" customFormat="1" ht="94" customHeight="1" spans="1:14">
      <c r="A57" s="9">
        <v>54</v>
      </c>
      <c r="B57" s="9" t="s">
        <v>116</v>
      </c>
      <c r="C57" s="9" t="s">
        <v>16</v>
      </c>
      <c r="D57" s="9" t="s">
        <v>132</v>
      </c>
      <c r="E57" s="10" t="s">
        <v>133</v>
      </c>
      <c r="F57" s="9" t="s">
        <v>19</v>
      </c>
      <c r="G57" s="10" t="str">
        <f>_xlfn.DISPIMG("ID_F7BBFBE88E5E4C76A88F6592D990F3E1",1)</f>
        <v>=DISPIMG("ID_F7BBFBE88E5E4C76A88F6592D990F3E1",1)</v>
      </c>
      <c r="H57" s="10" t="str">
        <f>_xlfn.DISPIMG("ID_05ED00D7B03A4752A597995DB5BA265C",1)</f>
        <v>=DISPIMG("ID_05ED00D7B03A4752A597995DB5BA265C",1)</v>
      </c>
      <c r="I57" s="18" t="s">
        <v>134</v>
      </c>
      <c r="J57" s="9" t="s">
        <v>21</v>
      </c>
      <c r="K57" s="9">
        <v>35</v>
      </c>
      <c r="L57" s="19">
        <v>330</v>
      </c>
      <c r="M57" s="20"/>
      <c r="N57" s="20">
        <f t="shared" si="1"/>
        <v>0</v>
      </c>
    </row>
    <row r="58" s="2" customFormat="1" ht="94" customHeight="1" spans="1:14">
      <c r="A58" s="9">
        <v>55</v>
      </c>
      <c r="B58" s="9" t="s">
        <v>116</v>
      </c>
      <c r="C58" s="9" t="s">
        <v>16</v>
      </c>
      <c r="D58" s="9" t="s">
        <v>132</v>
      </c>
      <c r="E58" s="10" t="s">
        <v>135</v>
      </c>
      <c r="F58" s="9" t="s">
        <v>19</v>
      </c>
      <c r="G58" s="10" t="str">
        <f>_xlfn.DISPIMG("ID_8DF63A5BAC3943A2AA7C94375CFBA639",1)</f>
        <v>=DISPIMG("ID_8DF63A5BAC3943A2AA7C94375CFBA639",1)</v>
      </c>
      <c r="H58" s="10" t="str">
        <f>_xlfn.DISPIMG("ID_4D55E825CB694971B268583DA86D6488",1)</f>
        <v>=DISPIMG("ID_4D55E825CB694971B268583DA86D6488",1)</v>
      </c>
      <c r="I58" s="18" t="s">
        <v>134</v>
      </c>
      <c r="J58" s="9" t="s">
        <v>21</v>
      </c>
      <c r="K58" s="9">
        <v>35</v>
      </c>
      <c r="L58" s="19">
        <v>530</v>
      </c>
      <c r="M58" s="20"/>
      <c r="N58" s="20">
        <f t="shared" si="1"/>
        <v>0</v>
      </c>
    </row>
    <row r="59" s="2" customFormat="1" ht="94" customHeight="1" spans="1:14">
      <c r="A59" s="9">
        <v>56</v>
      </c>
      <c r="B59" s="9" t="s">
        <v>116</v>
      </c>
      <c r="C59" s="9" t="s">
        <v>16</v>
      </c>
      <c r="D59" s="9" t="s">
        <v>132</v>
      </c>
      <c r="E59" s="10" t="s">
        <v>136</v>
      </c>
      <c r="F59" s="9" t="s">
        <v>19</v>
      </c>
      <c r="G59" s="10" t="str">
        <f>_xlfn.DISPIMG("ID_5F4E969A463F43FCBC2C4138FE7D78B5",1)</f>
        <v>=DISPIMG("ID_5F4E969A463F43FCBC2C4138FE7D78B5",1)</v>
      </c>
      <c r="H59" s="10" t="str">
        <f>_xlfn.DISPIMG("ID_2E333B66498E4A7C9E6F4C78679461C9",1)</f>
        <v>=DISPIMG("ID_2E333B66498E4A7C9E6F4C78679461C9",1)</v>
      </c>
      <c r="I59" s="18" t="s">
        <v>134</v>
      </c>
      <c r="J59" s="9" t="s">
        <v>21</v>
      </c>
      <c r="K59" s="9">
        <v>35</v>
      </c>
      <c r="L59" s="19">
        <v>470</v>
      </c>
      <c r="M59" s="20"/>
      <c r="N59" s="20">
        <f t="shared" si="1"/>
        <v>0</v>
      </c>
    </row>
    <row r="60" s="2" customFormat="1" ht="94" customHeight="1" spans="1:14">
      <c r="A60" s="9">
        <v>57</v>
      </c>
      <c r="B60" s="9" t="s">
        <v>116</v>
      </c>
      <c r="C60" s="9" t="s">
        <v>16</v>
      </c>
      <c r="D60" s="9" t="s">
        <v>137</v>
      </c>
      <c r="E60" s="9" t="s">
        <v>138</v>
      </c>
      <c r="F60" s="9" t="s">
        <v>19</v>
      </c>
      <c r="G60" s="9" t="str">
        <f>_xlfn.DISPIMG("ID_470BECC757BF44D49FE06431A0C921ED",1)</f>
        <v>=DISPIMG("ID_470BECC757BF44D49FE06431A0C921ED",1)</v>
      </c>
      <c r="H60" s="9" t="str">
        <f>_xlfn.DISPIMG("ID_8F828F13693E496CB4419379239AC313",1)</f>
        <v>=DISPIMG("ID_8F828F13693E496CB4419379239AC313",1)</v>
      </c>
      <c r="I60" s="18" t="s">
        <v>139</v>
      </c>
      <c r="J60" s="9" t="s">
        <v>21</v>
      </c>
      <c r="K60" s="9">
        <v>35</v>
      </c>
      <c r="L60" s="19">
        <v>810</v>
      </c>
      <c r="M60" s="20"/>
      <c r="N60" s="20">
        <f t="shared" si="1"/>
        <v>0</v>
      </c>
    </row>
    <row r="61" s="2" customFormat="1" ht="94" customHeight="1" spans="1:14">
      <c r="A61" s="9">
        <v>58</v>
      </c>
      <c r="B61" s="9" t="s">
        <v>116</v>
      </c>
      <c r="C61" s="9" t="s">
        <v>16</v>
      </c>
      <c r="D61" s="9" t="s">
        <v>137</v>
      </c>
      <c r="E61" s="9" t="s">
        <v>140</v>
      </c>
      <c r="F61" s="9" t="s">
        <v>19</v>
      </c>
      <c r="G61" s="9" t="str">
        <f>_xlfn.DISPIMG("ID_795E83D3909644A0B44E2E077BF3F8B7",1)</f>
        <v>=DISPIMG("ID_795E83D3909644A0B44E2E077BF3F8B7",1)</v>
      </c>
      <c r="H61" s="9" t="str">
        <f>_xlfn.DISPIMG("ID_46EA054B73304716A3BFB10D23BEADFB",1)</f>
        <v>=DISPIMG("ID_46EA054B73304716A3BFB10D23BEADFB",1)</v>
      </c>
      <c r="I61" s="18" t="s">
        <v>139</v>
      </c>
      <c r="J61" s="9" t="s">
        <v>21</v>
      </c>
      <c r="K61" s="9">
        <v>35</v>
      </c>
      <c r="L61" s="19">
        <v>1080</v>
      </c>
      <c r="M61" s="20"/>
      <c r="N61" s="20">
        <f t="shared" si="1"/>
        <v>0</v>
      </c>
    </row>
    <row r="62" s="2" customFormat="1" ht="94" customHeight="1" spans="1:14">
      <c r="A62" s="9">
        <v>59</v>
      </c>
      <c r="B62" s="9" t="s">
        <v>116</v>
      </c>
      <c r="C62" s="9" t="s">
        <v>16</v>
      </c>
      <c r="D62" s="9" t="s">
        <v>137</v>
      </c>
      <c r="E62" s="9" t="s">
        <v>141</v>
      </c>
      <c r="F62" s="9" t="s">
        <v>19</v>
      </c>
      <c r="G62" s="9" t="str">
        <f>_xlfn.DISPIMG("ID_23A2FD9C8A4546458AC83E75B780C191",1)</f>
        <v>=DISPIMG("ID_23A2FD9C8A4546458AC83E75B780C191",1)</v>
      </c>
      <c r="H62" s="9" t="str">
        <f>_xlfn.DISPIMG("ID_5DF76345E8D24578A5FCB712D262FA51",1)</f>
        <v>=DISPIMG("ID_5DF76345E8D24578A5FCB712D262FA51",1)</v>
      </c>
      <c r="I62" s="18" t="s">
        <v>142</v>
      </c>
      <c r="J62" s="9" t="s">
        <v>21</v>
      </c>
      <c r="K62" s="9">
        <v>35</v>
      </c>
      <c r="L62" s="19">
        <v>1170</v>
      </c>
      <c r="M62" s="20"/>
      <c r="N62" s="20">
        <f t="shared" si="1"/>
        <v>0</v>
      </c>
    </row>
    <row r="63" s="2" customFormat="1" ht="94" customHeight="1" spans="1:14">
      <c r="A63" s="9">
        <v>60</v>
      </c>
      <c r="B63" s="9" t="s">
        <v>116</v>
      </c>
      <c r="C63" s="9" t="s">
        <v>16</v>
      </c>
      <c r="D63" s="9" t="s">
        <v>143</v>
      </c>
      <c r="E63" s="9" t="s">
        <v>144</v>
      </c>
      <c r="F63" s="9" t="s">
        <v>19</v>
      </c>
      <c r="G63" s="9" t="str">
        <f>_xlfn.DISPIMG("ID_AC227B6340264788A579394B8B568A28",1)</f>
        <v>=DISPIMG("ID_AC227B6340264788A579394B8B568A28",1)</v>
      </c>
      <c r="H63" s="9" t="str">
        <f>_xlfn.DISPIMG("ID_71E555F357544D858C4CA5C064FB62B6",1)</f>
        <v>=DISPIMG("ID_71E555F357544D858C4CA5C064FB62B6",1)</v>
      </c>
      <c r="I63" s="18" t="s">
        <v>145</v>
      </c>
      <c r="J63" s="9" t="s">
        <v>21</v>
      </c>
      <c r="K63" s="9">
        <v>35</v>
      </c>
      <c r="L63" s="19">
        <v>2600</v>
      </c>
      <c r="M63" s="20"/>
      <c r="N63" s="20">
        <f t="shared" si="1"/>
        <v>0</v>
      </c>
    </row>
    <row r="64" s="2" customFormat="1" ht="94" customHeight="1" spans="1:14">
      <c r="A64" s="9">
        <v>61</v>
      </c>
      <c r="B64" s="9" t="s">
        <v>116</v>
      </c>
      <c r="C64" s="9" t="s">
        <v>16</v>
      </c>
      <c r="D64" s="9" t="s">
        <v>143</v>
      </c>
      <c r="E64" s="9" t="s">
        <v>146</v>
      </c>
      <c r="F64" s="9" t="s">
        <v>19</v>
      </c>
      <c r="G64" s="9" t="str">
        <f>_xlfn.DISPIMG("ID_F1FA514CDA0445B08EBA3F7CBB2AD2EA",1)</f>
        <v>=DISPIMG("ID_F1FA514CDA0445B08EBA3F7CBB2AD2EA",1)</v>
      </c>
      <c r="H64" s="9" t="str">
        <f>_xlfn.DISPIMG("ID_E9E49359866E46A1AF576E4A784B4F62",1)</f>
        <v>=DISPIMG("ID_E9E49359866E46A1AF576E4A784B4F62",1)</v>
      </c>
      <c r="I64" s="18" t="s">
        <v>145</v>
      </c>
      <c r="J64" s="9" t="s">
        <v>21</v>
      </c>
      <c r="K64" s="9">
        <v>35</v>
      </c>
      <c r="L64" s="19">
        <v>4100</v>
      </c>
      <c r="M64" s="20"/>
      <c r="N64" s="20">
        <f t="shared" si="1"/>
        <v>0</v>
      </c>
    </row>
    <row r="65" s="2" customFormat="1" ht="94" customHeight="1" spans="1:14">
      <c r="A65" s="9">
        <v>62</v>
      </c>
      <c r="B65" s="9" t="s">
        <v>116</v>
      </c>
      <c r="C65" s="9" t="s">
        <v>16</v>
      </c>
      <c r="D65" s="9" t="s">
        <v>147</v>
      </c>
      <c r="E65" s="9" t="s">
        <v>148</v>
      </c>
      <c r="F65" s="9" t="s">
        <v>19</v>
      </c>
      <c r="G65" s="9" t="str">
        <f>_xlfn.DISPIMG("ID_6E18085B50E8439382A84CA567028125",1)</f>
        <v>=DISPIMG("ID_6E18085B50E8439382A84CA567028125",1)</v>
      </c>
      <c r="H65" s="23" t="str">
        <f>_xlfn.DISPIMG("ID_4616911EE72B49C2BEB808B43B97DDFF",1)</f>
        <v>=DISPIMG("ID_4616911EE72B49C2BEB808B43B97DDFF",1)</v>
      </c>
      <c r="I65" s="18" t="s">
        <v>145</v>
      </c>
      <c r="J65" s="9" t="s">
        <v>21</v>
      </c>
      <c r="K65" s="9">
        <v>35</v>
      </c>
      <c r="L65" s="19">
        <v>1310</v>
      </c>
      <c r="M65" s="20"/>
      <c r="N65" s="20">
        <f t="shared" si="1"/>
        <v>0</v>
      </c>
    </row>
    <row r="66" s="2" customFormat="1" ht="94" customHeight="1" spans="1:14">
      <c r="A66" s="9">
        <v>63</v>
      </c>
      <c r="B66" s="9" t="s">
        <v>116</v>
      </c>
      <c r="C66" s="9" t="s">
        <v>16</v>
      </c>
      <c r="D66" s="9" t="s">
        <v>147</v>
      </c>
      <c r="E66" s="9" t="s">
        <v>149</v>
      </c>
      <c r="F66" s="9" t="s">
        <v>19</v>
      </c>
      <c r="G66" s="23" t="str">
        <f>_xlfn.DISPIMG("ID_071DE0183EBA47EF95A55A66CA8834E7",1)</f>
        <v>=DISPIMG("ID_071DE0183EBA47EF95A55A66CA8834E7",1)</v>
      </c>
      <c r="H66" s="23" t="str">
        <f>_xlfn.DISPIMG("ID_8229F0B753074CDAB092373CC4A225CC",1)</f>
        <v>=DISPIMG("ID_8229F0B753074CDAB092373CC4A225CC",1)</v>
      </c>
      <c r="I66" s="18" t="s">
        <v>145</v>
      </c>
      <c r="J66" s="9" t="s">
        <v>21</v>
      </c>
      <c r="K66" s="9">
        <v>35</v>
      </c>
      <c r="L66" s="19">
        <v>1680</v>
      </c>
      <c r="M66" s="20"/>
      <c r="N66" s="20">
        <f t="shared" si="1"/>
        <v>0</v>
      </c>
    </row>
    <row r="67" s="2" customFormat="1" ht="81" customHeight="1" spans="1:14">
      <c r="A67" s="9">
        <v>64</v>
      </c>
      <c r="B67" s="9" t="s">
        <v>116</v>
      </c>
      <c r="C67" s="9" t="s">
        <v>16</v>
      </c>
      <c r="D67" s="9" t="s">
        <v>150</v>
      </c>
      <c r="E67" s="9" t="s">
        <v>151</v>
      </c>
      <c r="F67" s="9" t="s">
        <v>19</v>
      </c>
      <c r="G67" s="9" t="str">
        <f>_xlfn.DISPIMG("ID_897DCC83A7884BBA83F094DEB34C0880",1)</f>
        <v>=DISPIMG("ID_897DCC83A7884BBA83F094DEB34C0880",1)</v>
      </c>
      <c r="H67" s="9" t="str">
        <f>_xlfn.DISPIMG("ID_6E485D26FD3247C398CB25C60F0F7C09",1)</f>
        <v>=DISPIMG("ID_6E485D26FD3247C398CB25C60F0F7C09",1)</v>
      </c>
      <c r="I67" s="18" t="s">
        <v>152</v>
      </c>
      <c r="J67" s="9" t="s">
        <v>21</v>
      </c>
      <c r="K67" s="9">
        <v>35</v>
      </c>
      <c r="L67" s="19">
        <v>430</v>
      </c>
      <c r="M67" s="20"/>
      <c r="N67" s="20">
        <f t="shared" si="1"/>
        <v>0</v>
      </c>
    </row>
    <row r="68" s="2" customFormat="1" ht="74" customHeight="1" spans="1:14">
      <c r="A68" s="9">
        <v>65</v>
      </c>
      <c r="B68" s="9" t="s">
        <v>116</v>
      </c>
      <c r="C68" s="9" t="s">
        <v>16</v>
      </c>
      <c r="D68" s="9" t="s">
        <v>153</v>
      </c>
      <c r="E68" s="9" t="s">
        <v>154</v>
      </c>
      <c r="F68" s="9" t="s">
        <v>19</v>
      </c>
      <c r="G68" s="9" t="str">
        <f>_xlfn.DISPIMG("ID_FBBBA17AA8814FCD899109B65EF347D6",1)</f>
        <v>=DISPIMG("ID_FBBBA17AA8814FCD899109B65EF347D6",1)</v>
      </c>
      <c r="H68" s="9" t="str">
        <f>_xlfn.DISPIMG("ID_965F782136C74D04B7463C09239D032A",1)</f>
        <v>=DISPIMG("ID_965F782136C74D04B7463C09239D032A",1)</v>
      </c>
      <c r="I68" s="18" t="s">
        <v>79</v>
      </c>
      <c r="J68" s="9" t="s">
        <v>21</v>
      </c>
      <c r="K68" s="9">
        <v>35</v>
      </c>
      <c r="L68" s="19">
        <v>165</v>
      </c>
      <c r="M68" s="20"/>
      <c r="N68" s="20">
        <f t="shared" si="1"/>
        <v>0</v>
      </c>
    </row>
    <row r="69" s="2" customFormat="1" ht="81" customHeight="1" spans="1:14">
      <c r="A69" s="9">
        <v>66</v>
      </c>
      <c r="B69" s="9" t="s">
        <v>116</v>
      </c>
      <c r="C69" s="9" t="s">
        <v>16</v>
      </c>
      <c r="D69" s="9" t="s">
        <v>155</v>
      </c>
      <c r="E69" s="9" t="s">
        <v>156</v>
      </c>
      <c r="F69" s="9" t="s">
        <v>19</v>
      </c>
      <c r="G69" s="9" t="str">
        <f>_xlfn.DISPIMG("ID_32C6101625334410BC7AD41598962578",1)</f>
        <v>=DISPIMG("ID_32C6101625334410BC7AD41598962578",1)</v>
      </c>
      <c r="H69" s="9" t="str">
        <f>_xlfn.DISPIMG("ID_021D6DC2FE9E4FEBAFC2D0250FABE61A",1)</f>
        <v>=DISPIMG("ID_021D6DC2FE9E4FEBAFC2D0250FABE61A",1)</v>
      </c>
      <c r="I69" s="18" t="s">
        <v>79</v>
      </c>
      <c r="J69" s="9" t="s">
        <v>21</v>
      </c>
      <c r="K69" s="9">
        <v>35</v>
      </c>
      <c r="L69" s="19">
        <v>80</v>
      </c>
      <c r="M69" s="20"/>
      <c r="N69" s="20">
        <f t="shared" ref="N69:N100" si="2">K69*M69</f>
        <v>0</v>
      </c>
    </row>
    <row r="70" s="2" customFormat="1" ht="66" customHeight="1" spans="1:14">
      <c r="A70" s="9">
        <v>67</v>
      </c>
      <c r="B70" s="9" t="s">
        <v>116</v>
      </c>
      <c r="C70" s="9" t="s">
        <v>42</v>
      </c>
      <c r="D70" s="9" t="s">
        <v>157</v>
      </c>
      <c r="E70" s="9" t="s">
        <v>158</v>
      </c>
      <c r="F70" s="9" t="s">
        <v>19</v>
      </c>
      <c r="G70" s="9" t="str">
        <f>_xlfn.DISPIMG("ID_4D8D81DC3FD64FC4A08708BECA0AA13F",1)</f>
        <v>=DISPIMG("ID_4D8D81DC3FD64FC4A08708BECA0AA13F",1)</v>
      </c>
      <c r="H70" s="9" t="str">
        <f>_xlfn.DISPIMG("ID_00D1EB90FC6749E6BD5478C49FAEBB57",1)</f>
        <v>=DISPIMG("ID_00D1EB90FC6749E6BD5478C49FAEBB57",1)</v>
      </c>
      <c r="I70" s="18" t="s">
        <v>159</v>
      </c>
      <c r="J70" s="9" t="s">
        <v>21</v>
      </c>
      <c r="K70" s="9">
        <v>35</v>
      </c>
      <c r="L70" s="19">
        <v>22</v>
      </c>
      <c r="M70" s="20"/>
      <c r="N70" s="20">
        <f t="shared" si="2"/>
        <v>0</v>
      </c>
    </row>
    <row r="71" s="2" customFormat="1" ht="86" customHeight="1" spans="1:14">
      <c r="A71" s="9">
        <v>68</v>
      </c>
      <c r="B71" s="9" t="s">
        <v>160</v>
      </c>
      <c r="C71" s="9" t="s">
        <v>16</v>
      </c>
      <c r="D71" s="9" t="s">
        <v>161</v>
      </c>
      <c r="E71" s="24" t="s">
        <v>162</v>
      </c>
      <c r="F71" s="9" t="s">
        <v>19</v>
      </c>
      <c r="G71" s="9" t="str">
        <f>_xlfn.DISPIMG("ID_FB969117C5644E22A3DC66DC0759351E",1)</f>
        <v>=DISPIMG("ID_FB969117C5644E22A3DC66DC0759351E",1)</v>
      </c>
      <c r="H71" s="9" t="str">
        <f>_xlfn.DISPIMG("ID_6D68A5AECC054687BB479AFDBDFB3E66",1)</f>
        <v>=DISPIMG("ID_6D68A5AECC054687BB479AFDBDFB3E66",1)</v>
      </c>
      <c r="I71" s="18" t="s">
        <v>163</v>
      </c>
      <c r="J71" s="9" t="s">
        <v>21</v>
      </c>
      <c r="K71" s="9">
        <v>35</v>
      </c>
      <c r="L71" s="19">
        <v>510</v>
      </c>
      <c r="M71" s="20"/>
      <c r="N71" s="20">
        <f t="shared" si="2"/>
        <v>0</v>
      </c>
    </row>
    <row r="72" s="2" customFormat="1" ht="86" customHeight="1" spans="1:14">
      <c r="A72" s="9">
        <v>69</v>
      </c>
      <c r="B72" s="9" t="s">
        <v>160</v>
      </c>
      <c r="C72" s="9" t="s">
        <v>16</v>
      </c>
      <c r="D72" s="9" t="s">
        <v>161</v>
      </c>
      <c r="E72" s="24" t="s">
        <v>164</v>
      </c>
      <c r="F72" s="9" t="s">
        <v>19</v>
      </c>
      <c r="G72" s="9" t="str">
        <f>_xlfn.DISPIMG("ID_7412AA3F01CB4F9F80F51B456DEA129F",1)</f>
        <v>=DISPIMG("ID_7412AA3F01CB4F9F80F51B456DEA129F",1)</v>
      </c>
      <c r="H72" s="9" t="str">
        <f>_xlfn.DISPIMG("ID_3DD3E50AE2464ABFACBB01D0AAB5AE06",1)</f>
        <v>=DISPIMG("ID_3DD3E50AE2464ABFACBB01D0AAB5AE06",1)</v>
      </c>
      <c r="I72" s="18" t="s">
        <v>163</v>
      </c>
      <c r="J72" s="9" t="s">
        <v>21</v>
      </c>
      <c r="K72" s="9">
        <v>35</v>
      </c>
      <c r="L72" s="19">
        <v>450</v>
      </c>
      <c r="M72" s="20"/>
      <c r="N72" s="20">
        <f t="shared" si="2"/>
        <v>0</v>
      </c>
    </row>
    <row r="73" s="2" customFormat="1" ht="86" customHeight="1" spans="1:14">
      <c r="A73" s="9">
        <v>70</v>
      </c>
      <c r="B73" s="9" t="s">
        <v>160</v>
      </c>
      <c r="C73" s="9" t="s">
        <v>16</v>
      </c>
      <c r="D73" s="9" t="s">
        <v>165</v>
      </c>
      <c r="E73" s="24" t="s">
        <v>166</v>
      </c>
      <c r="F73" s="9" t="s">
        <v>19</v>
      </c>
      <c r="G73" s="9" t="str">
        <f>_xlfn.DISPIMG("ID_1B42230FAFEF4792B2E7FAD8488DFC96",1)</f>
        <v>=DISPIMG("ID_1B42230FAFEF4792B2E7FAD8488DFC96",1)</v>
      </c>
      <c r="H73" s="9" t="str">
        <f>_xlfn.DISPIMG("ID_1B400FDE8E834F0D9D72F809D179C412",1)</f>
        <v>=DISPIMG("ID_1B400FDE8E834F0D9D72F809D179C412",1)</v>
      </c>
      <c r="I73" s="18" t="s">
        <v>163</v>
      </c>
      <c r="J73" s="9" t="s">
        <v>21</v>
      </c>
      <c r="K73" s="9">
        <v>35</v>
      </c>
      <c r="L73" s="19">
        <v>310</v>
      </c>
      <c r="M73" s="20"/>
      <c r="N73" s="20">
        <f t="shared" si="2"/>
        <v>0</v>
      </c>
    </row>
    <row r="74" s="2" customFormat="1" ht="86" customHeight="1" spans="1:14">
      <c r="A74" s="9">
        <v>71</v>
      </c>
      <c r="B74" s="9" t="s">
        <v>160</v>
      </c>
      <c r="C74" s="9" t="s">
        <v>16</v>
      </c>
      <c r="D74" s="9" t="s">
        <v>165</v>
      </c>
      <c r="E74" s="24" t="s">
        <v>167</v>
      </c>
      <c r="F74" s="9" t="s">
        <v>19</v>
      </c>
      <c r="G74" s="9" t="str">
        <f>_xlfn.DISPIMG("ID_92A58CDD84944D6A9AB47A161778BE34",1)</f>
        <v>=DISPIMG("ID_92A58CDD84944D6A9AB47A161778BE34",1)</v>
      </c>
      <c r="H74" s="9" t="str">
        <f>_xlfn.DISPIMG("ID_7C6943F026BD491288EE6FE4E1EAC523",1)</f>
        <v>=DISPIMG("ID_7C6943F026BD491288EE6FE4E1EAC523",1)</v>
      </c>
      <c r="I74" s="18" t="s">
        <v>163</v>
      </c>
      <c r="J74" s="9" t="s">
        <v>21</v>
      </c>
      <c r="K74" s="9">
        <v>35</v>
      </c>
      <c r="L74" s="19">
        <v>270</v>
      </c>
      <c r="M74" s="20"/>
      <c r="N74" s="20">
        <f t="shared" si="2"/>
        <v>0</v>
      </c>
    </row>
    <row r="75" s="2" customFormat="1" ht="91" customHeight="1" spans="1:14">
      <c r="A75" s="9">
        <v>72</v>
      </c>
      <c r="B75" s="9" t="s">
        <v>160</v>
      </c>
      <c r="C75" s="9" t="s">
        <v>16</v>
      </c>
      <c r="D75" s="9" t="s">
        <v>168</v>
      </c>
      <c r="E75" s="9" t="s">
        <v>169</v>
      </c>
      <c r="F75" s="9" t="s">
        <v>19</v>
      </c>
      <c r="G75" s="9" t="str">
        <f>_xlfn.DISPIMG("ID_7442992BE28A456DB8D0D1140C0FEE59",1)</f>
        <v>=DISPIMG("ID_7442992BE28A456DB8D0D1140C0FEE59",1)</v>
      </c>
      <c r="H75" s="9" t="str">
        <f>_xlfn.DISPIMG("ID_8A7C9678C1324C0A92CE28B9FD6E10D1",1)</f>
        <v>=DISPIMG("ID_8A7C9678C1324C0A92CE28B9FD6E10D1",1)</v>
      </c>
      <c r="I75" s="18" t="s">
        <v>163</v>
      </c>
      <c r="J75" s="9" t="s">
        <v>21</v>
      </c>
      <c r="K75" s="9">
        <v>35</v>
      </c>
      <c r="L75" s="19">
        <v>740</v>
      </c>
      <c r="M75" s="20"/>
      <c r="N75" s="20">
        <f t="shared" si="2"/>
        <v>0</v>
      </c>
    </row>
    <row r="76" s="2" customFormat="1" ht="91" customHeight="1" spans="1:14">
      <c r="A76" s="9">
        <v>73</v>
      </c>
      <c r="B76" s="9" t="s">
        <v>160</v>
      </c>
      <c r="C76" s="9" t="s">
        <v>16</v>
      </c>
      <c r="D76" s="9" t="s">
        <v>168</v>
      </c>
      <c r="E76" s="9" t="s">
        <v>170</v>
      </c>
      <c r="F76" s="9" t="s">
        <v>19</v>
      </c>
      <c r="G76" s="9" t="str">
        <f>_xlfn.DISPIMG("ID_85952BFDF9E24060A562061750A38D7F",1)</f>
        <v>=DISPIMG("ID_85952BFDF9E24060A562061750A38D7F",1)</v>
      </c>
      <c r="H76" s="9" t="str">
        <f>_xlfn.DISPIMG("ID_362C837B62394F64A973452393CE6D46",1)</f>
        <v>=DISPIMG("ID_362C837B62394F64A973452393CE6D46",1)</v>
      </c>
      <c r="I76" s="18" t="s">
        <v>163</v>
      </c>
      <c r="J76" s="9" t="s">
        <v>21</v>
      </c>
      <c r="K76" s="9">
        <v>35</v>
      </c>
      <c r="L76" s="19">
        <v>680</v>
      </c>
      <c r="M76" s="20"/>
      <c r="N76" s="20">
        <f t="shared" si="2"/>
        <v>0</v>
      </c>
    </row>
    <row r="77" s="2" customFormat="1" ht="100" customHeight="1" spans="1:14">
      <c r="A77" s="9">
        <v>74</v>
      </c>
      <c r="B77" s="9" t="s">
        <v>160</v>
      </c>
      <c r="C77" s="9" t="s">
        <v>16</v>
      </c>
      <c r="D77" s="9" t="s">
        <v>171</v>
      </c>
      <c r="E77" s="9" t="s">
        <v>172</v>
      </c>
      <c r="F77" s="9" t="s">
        <v>19</v>
      </c>
      <c r="G77" s="9" t="str">
        <f>_xlfn.DISPIMG("ID_EA390547590547DAA555DF8E35D6A542",1)</f>
        <v>=DISPIMG("ID_EA390547590547DAA555DF8E35D6A542",1)</v>
      </c>
      <c r="H77" s="9" t="str">
        <f>_xlfn.DISPIMG("ID_FD890AEB959A4EFE99770BE9380D7BB6",1)</f>
        <v>=DISPIMG("ID_FD890AEB959A4EFE99770BE9380D7BB6",1)</v>
      </c>
      <c r="I77" s="18" t="s">
        <v>163</v>
      </c>
      <c r="J77" s="9" t="s">
        <v>21</v>
      </c>
      <c r="K77" s="9">
        <v>35</v>
      </c>
      <c r="L77" s="19">
        <v>554</v>
      </c>
      <c r="M77" s="20"/>
      <c r="N77" s="20">
        <f t="shared" si="2"/>
        <v>0</v>
      </c>
    </row>
    <row r="78" s="2" customFormat="1" ht="100" customHeight="1" spans="1:14">
      <c r="A78" s="9">
        <v>75</v>
      </c>
      <c r="B78" s="9" t="s">
        <v>160</v>
      </c>
      <c r="C78" s="9" t="s">
        <v>16</v>
      </c>
      <c r="D78" s="9" t="s">
        <v>173</v>
      </c>
      <c r="E78" s="9" t="s">
        <v>174</v>
      </c>
      <c r="F78" s="9" t="s">
        <v>19</v>
      </c>
      <c r="G78" s="9" t="str">
        <f>_xlfn.DISPIMG("ID_EEF4E7D2BB694A88A007FFC0A9FA592F",1)</f>
        <v>=DISPIMG("ID_EEF4E7D2BB694A88A007FFC0A9FA592F",1)</v>
      </c>
      <c r="H78" s="9" t="str">
        <f>_xlfn.DISPIMG("ID_BCA755CF71EA4CF69FB06BF5E525A446",1)</f>
        <v>=DISPIMG("ID_BCA755CF71EA4CF69FB06BF5E525A446",1)</v>
      </c>
      <c r="I78" s="18" t="s">
        <v>163</v>
      </c>
      <c r="J78" s="9" t="s">
        <v>21</v>
      </c>
      <c r="K78" s="9">
        <v>35</v>
      </c>
      <c r="L78" s="19">
        <v>860</v>
      </c>
      <c r="M78" s="20"/>
      <c r="N78" s="20">
        <f t="shared" si="2"/>
        <v>0</v>
      </c>
    </row>
    <row r="79" s="2" customFormat="1" ht="86" customHeight="1" spans="1:14">
      <c r="A79" s="9">
        <v>76</v>
      </c>
      <c r="B79" s="9" t="s">
        <v>160</v>
      </c>
      <c r="C79" s="9" t="s">
        <v>16</v>
      </c>
      <c r="D79" s="9" t="s">
        <v>175</v>
      </c>
      <c r="E79" s="9" t="s">
        <v>176</v>
      </c>
      <c r="F79" s="9" t="s">
        <v>19</v>
      </c>
      <c r="G79" s="9" t="str">
        <f>_xlfn.DISPIMG("ID_B86958581F394E95A819728B92547200",1)</f>
        <v>=DISPIMG("ID_B86958581F394E95A819728B92547200",1)</v>
      </c>
      <c r="H79" s="9" t="str">
        <f>_xlfn.DISPIMG("ID_4A91B184504A4B18A2C117CC26884E41",1)</f>
        <v>=DISPIMG("ID_4A91B184504A4B18A2C117CC26884E41",1)</v>
      </c>
      <c r="I79" s="18" t="s">
        <v>163</v>
      </c>
      <c r="J79" s="9" t="s">
        <v>21</v>
      </c>
      <c r="K79" s="9">
        <v>35</v>
      </c>
      <c r="L79" s="19">
        <v>500</v>
      </c>
      <c r="M79" s="20"/>
      <c r="N79" s="20">
        <f t="shared" si="2"/>
        <v>0</v>
      </c>
    </row>
    <row r="80" s="2" customFormat="1" ht="94" customHeight="1" spans="1:14">
      <c r="A80" s="9">
        <v>77</v>
      </c>
      <c r="B80" s="9" t="s">
        <v>160</v>
      </c>
      <c r="C80" s="9" t="s">
        <v>16</v>
      </c>
      <c r="D80" s="9" t="s">
        <v>177</v>
      </c>
      <c r="E80" s="25" t="s">
        <v>178</v>
      </c>
      <c r="F80" s="9" t="s">
        <v>19</v>
      </c>
      <c r="G80" s="9" t="str">
        <f>_xlfn.DISPIMG("ID_6325E90DEA664944A87FC23F47301E24",1)</f>
        <v>=DISPIMG("ID_6325E90DEA664944A87FC23F47301E24",1)</v>
      </c>
      <c r="H80" s="9" t="str">
        <f>_xlfn.DISPIMG("ID_BB7391FA01FF4BCBA30C6F1054918018",1)</f>
        <v>=DISPIMG("ID_BB7391FA01FF4BCBA30C6F1054918018",1)</v>
      </c>
      <c r="I80" s="18" t="s">
        <v>179</v>
      </c>
      <c r="J80" s="9" t="s">
        <v>21</v>
      </c>
      <c r="K80" s="9">
        <v>35</v>
      </c>
      <c r="L80" s="19">
        <v>50</v>
      </c>
      <c r="M80" s="20"/>
      <c r="N80" s="20">
        <f t="shared" si="2"/>
        <v>0</v>
      </c>
    </row>
    <row r="81" s="2" customFormat="1" ht="94" customHeight="1" spans="1:14">
      <c r="A81" s="9">
        <v>78</v>
      </c>
      <c r="B81" s="9" t="s">
        <v>160</v>
      </c>
      <c r="C81" s="9" t="s">
        <v>16</v>
      </c>
      <c r="D81" s="9" t="s">
        <v>180</v>
      </c>
      <c r="E81" s="25" t="s">
        <v>181</v>
      </c>
      <c r="F81" s="9" t="s">
        <v>19</v>
      </c>
      <c r="G81" s="9" t="str">
        <f>_xlfn.DISPIMG("ID_D80DFD961AC146EE8D4335B9058E9A2A",1)</f>
        <v>=DISPIMG("ID_D80DFD961AC146EE8D4335B9058E9A2A",1)</v>
      </c>
      <c r="H81" s="9" t="str">
        <f>_xlfn.DISPIMG("ID_30C32A23EF014268B810C3CA7E526FD4",1)</f>
        <v>=DISPIMG("ID_30C32A23EF014268B810C3CA7E526FD4",1)</v>
      </c>
      <c r="I81" s="18" t="s">
        <v>179</v>
      </c>
      <c r="J81" s="9" t="s">
        <v>21</v>
      </c>
      <c r="K81" s="9">
        <v>35</v>
      </c>
      <c r="L81" s="19">
        <v>90</v>
      </c>
      <c r="M81" s="20"/>
      <c r="N81" s="20">
        <f t="shared" si="2"/>
        <v>0</v>
      </c>
    </row>
    <row r="82" s="2" customFormat="1" ht="66" customHeight="1" spans="1:14">
      <c r="A82" s="9">
        <v>79</v>
      </c>
      <c r="B82" s="9" t="s">
        <v>160</v>
      </c>
      <c r="C82" s="9" t="s">
        <v>16</v>
      </c>
      <c r="D82" s="9" t="s">
        <v>182</v>
      </c>
      <c r="E82" s="9" t="s">
        <v>183</v>
      </c>
      <c r="F82" s="9" t="s">
        <v>19</v>
      </c>
      <c r="G82" s="9" t="str">
        <f>_xlfn.DISPIMG("ID_36F813101232420C81E34E84A9E0978C",1)</f>
        <v>=DISPIMG("ID_36F813101232420C81E34E84A9E0978C",1)</v>
      </c>
      <c r="H82" s="9" t="str">
        <f>_xlfn.DISPIMG("ID_6334897463394BFE9D0953EB6424C5CA",1)</f>
        <v>=DISPIMG("ID_6334897463394BFE9D0953EB6424C5CA",1)</v>
      </c>
      <c r="I82" s="18" t="s">
        <v>184</v>
      </c>
      <c r="J82" s="9" t="s">
        <v>21</v>
      </c>
      <c r="K82" s="9">
        <v>35</v>
      </c>
      <c r="L82" s="19">
        <v>60</v>
      </c>
      <c r="M82" s="20"/>
      <c r="N82" s="20">
        <f t="shared" si="2"/>
        <v>0</v>
      </c>
    </row>
    <row r="83" s="2" customFormat="1" ht="66" customHeight="1" spans="1:14">
      <c r="A83" s="9">
        <v>80</v>
      </c>
      <c r="B83" s="9" t="s">
        <v>160</v>
      </c>
      <c r="C83" s="9" t="s">
        <v>42</v>
      </c>
      <c r="D83" s="9" t="s">
        <v>182</v>
      </c>
      <c r="E83" s="9" t="s">
        <v>185</v>
      </c>
      <c r="F83" s="9" t="s">
        <v>19</v>
      </c>
      <c r="G83" s="9" t="str">
        <f>_xlfn.DISPIMG("ID_B927D7694BBD4B87A00EBC741844768A",1)</f>
        <v>=DISPIMG("ID_B927D7694BBD4B87A00EBC741844768A",1)</v>
      </c>
      <c r="H83" s="9" t="str">
        <f>_xlfn.DISPIMG("ID_36A28634DB97484BAD618E40AF9A99EA",1)</f>
        <v>=DISPIMG("ID_36A28634DB97484BAD618E40AF9A99EA",1)</v>
      </c>
      <c r="I83" s="18" t="s">
        <v>186</v>
      </c>
      <c r="J83" s="9" t="s">
        <v>21</v>
      </c>
      <c r="K83" s="9">
        <v>35</v>
      </c>
      <c r="L83" s="19">
        <v>34</v>
      </c>
      <c r="M83" s="20"/>
      <c r="N83" s="20">
        <f t="shared" si="2"/>
        <v>0</v>
      </c>
    </row>
    <row r="84" s="2" customFormat="1" ht="54" customHeight="1" spans="1:14">
      <c r="A84" s="9">
        <v>81</v>
      </c>
      <c r="B84" s="9" t="s">
        <v>187</v>
      </c>
      <c r="C84" s="9" t="s">
        <v>16</v>
      </c>
      <c r="D84" s="9"/>
      <c r="E84" s="9"/>
      <c r="F84" s="9" t="s">
        <v>19</v>
      </c>
      <c r="G84" s="9"/>
      <c r="H84" s="9"/>
      <c r="I84" s="18"/>
      <c r="J84" s="9" t="s">
        <v>21</v>
      </c>
      <c r="K84" s="9">
        <v>35</v>
      </c>
      <c r="L84" s="19">
        <v>0</v>
      </c>
      <c r="M84" s="20"/>
      <c r="N84" s="20">
        <f t="shared" si="2"/>
        <v>0</v>
      </c>
    </row>
    <row r="85" s="2" customFormat="1" ht="102" customHeight="1" spans="1:14">
      <c r="A85" s="9">
        <v>82</v>
      </c>
      <c r="B85" s="9" t="s">
        <v>188</v>
      </c>
      <c r="C85" s="9" t="s">
        <v>16</v>
      </c>
      <c r="D85" s="9" t="s">
        <v>189</v>
      </c>
      <c r="E85" s="9" t="s">
        <v>190</v>
      </c>
      <c r="F85" s="9" t="s">
        <v>19</v>
      </c>
      <c r="G85" s="9" t="str">
        <f>_xlfn.DISPIMG("ID_DC5969F57028428D8057E542D4C29777",1)</f>
        <v>=DISPIMG("ID_DC5969F57028428D8057E542D4C29777",1)</v>
      </c>
      <c r="H85" s="9" t="str">
        <f>_xlfn.DISPIMG("ID_C11222BBAF0D40E393C2343F429C45EA",1)</f>
        <v>=DISPIMG("ID_C11222BBAF0D40E393C2343F429C45EA",1)</v>
      </c>
      <c r="I85" s="18" t="s">
        <v>191</v>
      </c>
      <c r="J85" s="9" t="s">
        <v>21</v>
      </c>
      <c r="K85" s="9">
        <v>35</v>
      </c>
      <c r="L85" s="19">
        <v>1080</v>
      </c>
      <c r="M85" s="20"/>
      <c r="N85" s="20">
        <f t="shared" si="2"/>
        <v>0</v>
      </c>
    </row>
    <row r="86" s="2" customFormat="1" ht="66" customHeight="1" spans="1:14">
      <c r="A86" s="9">
        <v>83</v>
      </c>
      <c r="B86" s="9" t="s">
        <v>188</v>
      </c>
      <c r="C86" s="9" t="s">
        <v>42</v>
      </c>
      <c r="D86" s="9" t="s">
        <v>192</v>
      </c>
      <c r="E86" s="9" t="s">
        <v>193</v>
      </c>
      <c r="F86" s="9" t="s">
        <v>19</v>
      </c>
      <c r="G86" s="9" t="str">
        <f>_xlfn.DISPIMG("ID_FB89EA2752E9428AB5EA116E91849B72",1)</f>
        <v>=DISPIMG("ID_FB89EA2752E9428AB5EA116E91849B72",1)</v>
      </c>
      <c r="H86" s="9" t="str">
        <f>_xlfn.DISPIMG("ID_80AC05278ED2484D8EF1D90C1B94C10C",1)</f>
        <v>=DISPIMG("ID_80AC05278ED2484D8EF1D90C1B94C10C",1)</v>
      </c>
      <c r="I86" s="18" t="s">
        <v>194</v>
      </c>
      <c r="J86" s="9" t="s">
        <v>21</v>
      </c>
      <c r="K86" s="9">
        <v>35</v>
      </c>
      <c r="L86" s="19">
        <v>34</v>
      </c>
      <c r="M86" s="20"/>
      <c r="N86" s="20">
        <f t="shared" si="2"/>
        <v>0</v>
      </c>
    </row>
    <row r="87" s="2" customFormat="1" ht="125" customHeight="1" spans="1:14">
      <c r="A87" s="9">
        <v>84</v>
      </c>
      <c r="B87" s="9" t="s">
        <v>195</v>
      </c>
      <c r="C87" s="9" t="s">
        <v>16</v>
      </c>
      <c r="D87" s="9" t="s">
        <v>196</v>
      </c>
      <c r="E87" s="9" t="s">
        <v>197</v>
      </c>
      <c r="F87" s="9" t="s">
        <v>19</v>
      </c>
      <c r="G87" s="9" t="str">
        <f>_xlfn.DISPIMG("ID_59C8BE48D65B4FA5A8ED53EE7AAC9A88",1)</f>
        <v>=DISPIMG("ID_59C8BE48D65B4FA5A8ED53EE7AAC9A88",1)</v>
      </c>
      <c r="H87" s="9" t="str">
        <f>_xlfn.DISPIMG("ID_442E61D59E914694874F992A57398622",1)</f>
        <v>=DISPIMG("ID_442E61D59E914694874F992A57398622",1)</v>
      </c>
      <c r="I87" s="18" t="s">
        <v>198</v>
      </c>
      <c r="J87" s="9" t="s">
        <v>21</v>
      </c>
      <c r="K87" s="9">
        <v>35</v>
      </c>
      <c r="L87" s="19">
        <v>4400</v>
      </c>
      <c r="M87" s="20"/>
      <c r="N87" s="20">
        <f t="shared" si="2"/>
        <v>0</v>
      </c>
    </row>
    <row r="88" s="2" customFormat="1" ht="125" customHeight="1" spans="1:14">
      <c r="A88" s="9">
        <v>85</v>
      </c>
      <c r="B88" s="9" t="s">
        <v>195</v>
      </c>
      <c r="C88" s="9" t="s">
        <v>16</v>
      </c>
      <c r="D88" s="9" t="s">
        <v>199</v>
      </c>
      <c r="E88" s="9" t="s">
        <v>200</v>
      </c>
      <c r="F88" s="9" t="s">
        <v>19</v>
      </c>
      <c r="G88" s="9" t="str">
        <f>_xlfn.DISPIMG("ID_D65430ADF48E47579BCABCC3D047916F",1)</f>
        <v>=DISPIMG("ID_D65430ADF48E47579BCABCC3D047916F",1)</v>
      </c>
      <c r="H88" s="9" t="str">
        <f>_xlfn.DISPIMG("ID_414B0DF93DD346F9B1927E7C128027E7",1)</f>
        <v>=DISPIMG("ID_414B0DF93DD346F9B1927E7C128027E7",1)</v>
      </c>
      <c r="I88" s="18" t="s">
        <v>201</v>
      </c>
      <c r="J88" s="9" t="s">
        <v>21</v>
      </c>
      <c r="K88" s="9">
        <v>35</v>
      </c>
      <c r="L88" s="19">
        <v>12200</v>
      </c>
      <c r="M88" s="20"/>
      <c r="N88" s="20">
        <f t="shared" si="2"/>
        <v>0</v>
      </c>
    </row>
    <row r="89" s="2" customFormat="1" ht="125" customHeight="1" spans="1:14">
      <c r="A89" s="9">
        <v>86</v>
      </c>
      <c r="B89" s="9" t="s">
        <v>195</v>
      </c>
      <c r="C89" s="9" t="s">
        <v>16</v>
      </c>
      <c r="D89" s="9" t="s">
        <v>196</v>
      </c>
      <c r="E89" s="25" t="s">
        <v>202</v>
      </c>
      <c r="F89" s="9" t="s">
        <v>19</v>
      </c>
      <c r="G89" s="9" t="str">
        <f>_xlfn.DISPIMG("ID_DD4284F1141F46F6ACEC64BEB8E780B5",1)</f>
        <v>=DISPIMG("ID_DD4284F1141F46F6ACEC64BEB8E780B5",1)</v>
      </c>
      <c r="H89" s="9" t="str">
        <f>_xlfn.DISPIMG("ID_5AEB238F43364E2DAEB512FA90C52FF1",1)</f>
        <v>=DISPIMG("ID_5AEB238F43364E2DAEB512FA90C52FF1",1)</v>
      </c>
      <c r="I89" s="18" t="s">
        <v>198</v>
      </c>
      <c r="J89" s="9" t="s">
        <v>21</v>
      </c>
      <c r="K89" s="9">
        <v>35</v>
      </c>
      <c r="L89" s="19">
        <v>1660</v>
      </c>
      <c r="M89" s="20"/>
      <c r="N89" s="20">
        <f t="shared" si="2"/>
        <v>0</v>
      </c>
    </row>
    <row r="90" s="2" customFormat="1" ht="125" customHeight="1" spans="1:14">
      <c r="A90" s="9">
        <v>87</v>
      </c>
      <c r="B90" s="9" t="s">
        <v>195</v>
      </c>
      <c r="C90" s="9" t="s">
        <v>16</v>
      </c>
      <c r="D90" s="9" t="s">
        <v>196</v>
      </c>
      <c r="E90" s="25" t="s">
        <v>203</v>
      </c>
      <c r="F90" s="9" t="s">
        <v>19</v>
      </c>
      <c r="G90" s="9" t="str">
        <f>_xlfn.DISPIMG("ID_11851F18656D496383804E69A8190C8E",1)</f>
        <v>=DISPIMG("ID_11851F18656D496383804E69A8190C8E",1)</v>
      </c>
      <c r="H90" s="9" t="str">
        <f>_xlfn.DISPIMG("ID_1A8A47FF7775442B863294EC99A9D957",1)</f>
        <v>=DISPIMG("ID_1A8A47FF7775442B863294EC99A9D957",1)</v>
      </c>
      <c r="I90" s="18" t="s">
        <v>198</v>
      </c>
      <c r="J90" s="9" t="s">
        <v>21</v>
      </c>
      <c r="K90" s="9">
        <v>35</v>
      </c>
      <c r="L90" s="19">
        <v>1570</v>
      </c>
      <c r="M90" s="20"/>
      <c r="N90" s="20">
        <f t="shared" si="2"/>
        <v>0</v>
      </c>
    </row>
    <row r="91" s="2" customFormat="1" ht="101" customHeight="1" spans="1:14">
      <c r="A91" s="9">
        <v>88</v>
      </c>
      <c r="B91" s="9" t="s">
        <v>204</v>
      </c>
      <c r="C91" s="9" t="s">
        <v>16</v>
      </c>
      <c r="D91" s="9" t="s">
        <v>205</v>
      </c>
      <c r="E91" s="9" t="s">
        <v>206</v>
      </c>
      <c r="F91" s="9" t="s">
        <v>19</v>
      </c>
      <c r="G91" s="9" t="str">
        <f>_xlfn.DISPIMG("ID_D97967C0F0C34E659B339A625B4CBF9F",1)</f>
        <v>=DISPIMG("ID_D97967C0F0C34E659B339A625B4CBF9F",1)</v>
      </c>
      <c r="H91" s="9" t="str">
        <f>_xlfn.DISPIMG("ID_49DF90F7285F4817B53279B83FEAEFF6",1)</f>
        <v>=DISPIMG("ID_49DF90F7285F4817B53279B83FEAEFF6",1)</v>
      </c>
      <c r="I91" s="18" t="s">
        <v>207</v>
      </c>
      <c r="J91" s="9" t="s">
        <v>21</v>
      </c>
      <c r="K91" s="9">
        <v>35</v>
      </c>
      <c r="L91" s="19">
        <v>999</v>
      </c>
      <c r="M91" s="20"/>
      <c r="N91" s="20">
        <f t="shared" si="2"/>
        <v>0</v>
      </c>
    </row>
    <row r="92" s="2" customFormat="1" ht="101" customHeight="1" spans="1:14">
      <c r="A92" s="9">
        <v>89</v>
      </c>
      <c r="B92" s="9" t="s">
        <v>204</v>
      </c>
      <c r="C92" s="9" t="s">
        <v>16</v>
      </c>
      <c r="D92" s="9" t="s">
        <v>208</v>
      </c>
      <c r="E92" s="9" t="s">
        <v>209</v>
      </c>
      <c r="F92" s="9" t="s">
        <v>19</v>
      </c>
      <c r="G92" s="9" t="str">
        <f>_xlfn.DISPIMG("ID_27DE26A08FAF497B94F6D9A80494902D",1)</f>
        <v>=DISPIMG("ID_27DE26A08FAF497B94F6D9A80494902D",1)</v>
      </c>
      <c r="H92" s="9" t="str">
        <f>_xlfn.DISPIMG("ID_087986698F5043298D96C72DBDB31EFC",1)</f>
        <v>=DISPIMG("ID_087986698F5043298D96C72DBDB31EFC",1)</v>
      </c>
      <c r="I92" s="18" t="s">
        <v>210</v>
      </c>
      <c r="J92" s="9" t="s">
        <v>21</v>
      </c>
      <c r="K92" s="9">
        <v>35</v>
      </c>
      <c r="L92" s="19">
        <v>1700</v>
      </c>
      <c r="M92" s="20"/>
      <c r="N92" s="20">
        <f>K92*M92</f>
        <v>0</v>
      </c>
    </row>
    <row r="93" s="2" customFormat="1" ht="66" customHeight="1" spans="1:14">
      <c r="A93" s="9">
        <v>90</v>
      </c>
      <c r="B93" s="9" t="s">
        <v>204</v>
      </c>
      <c r="C93" s="9" t="s">
        <v>42</v>
      </c>
      <c r="D93" s="9" t="s">
        <v>211</v>
      </c>
      <c r="E93" s="9" t="s">
        <v>212</v>
      </c>
      <c r="F93" s="9" t="s">
        <v>19</v>
      </c>
      <c r="G93" s="26" t="str">
        <f>_xlfn.DISPIMG("ID_332D433829EF4A299EEEC72FE07BCFA3",1)</f>
        <v>=DISPIMG("ID_332D433829EF4A299EEEC72FE07BCFA3",1)</v>
      </c>
      <c r="H93" s="9" t="str">
        <f>_xlfn.DISPIMG("ID_7C796C410DD749918C814EBBAF7DF56A",1)</f>
        <v>=DISPIMG("ID_7C796C410DD749918C814EBBAF7DF56A",1)</v>
      </c>
      <c r="I93" s="18" t="s">
        <v>213</v>
      </c>
      <c r="J93" s="9" t="s">
        <v>21</v>
      </c>
      <c r="K93" s="9">
        <v>35</v>
      </c>
      <c r="L93" s="19">
        <v>27</v>
      </c>
      <c r="M93" s="20"/>
      <c r="N93" s="20">
        <f t="shared" si="2"/>
        <v>0</v>
      </c>
    </row>
    <row r="94" s="2" customFormat="1" ht="101" customHeight="1" spans="1:14">
      <c r="A94" s="9">
        <v>91</v>
      </c>
      <c r="B94" s="9" t="s">
        <v>45</v>
      </c>
      <c r="C94" s="9" t="s">
        <v>16</v>
      </c>
      <c r="D94" s="9" t="s">
        <v>214</v>
      </c>
      <c r="E94" s="9" t="s">
        <v>215</v>
      </c>
      <c r="F94" s="9" t="s">
        <v>19</v>
      </c>
      <c r="G94" s="9" t="str">
        <f>_xlfn.DISPIMG("ID_8991450EAD184AD5AEC204B91B2D61B9",1)</f>
        <v>=DISPIMG("ID_8991450EAD184AD5AEC204B91B2D61B9",1)</v>
      </c>
      <c r="H94" s="9" t="str">
        <f>_xlfn.DISPIMG("ID_5EE831A989C14CFF986361E85B863E1E",1)</f>
        <v>=DISPIMG("ID_5EE831A989C14CFF986361E85B863E1E",1)</v>
      </c>
      <c r="I94" s="18" t="s">
        <v>216</v>
      </c>
      <c r="J94" s="9" t="s">
        <v>21</v>
      </c>
      <c r="K94" s="9">
        <v>35</v>
      </c>
      <c r="L94" s="19">
        <v>445</v>
      </c>
      <c r="M94" s="20"/>
      <c r="N94" s="20">
        <f t="shared" si="2"/>
        <v>0</v>
      </c>
    </row>
    <row r="95" s="2" customFormat="1" ht="101" customHeight="1" spans="1:14">
      <c r="A95" s="9">
        <v>92</v>
      </c>
      <c r="B95" s="9" t="s">
        <v>45</v>
      </c>
      <c r="C95" s="9" t="s">
        <v>16</v>
      </c>
      <c r="D95" s="9" t="s">
        <v>217</v>
      </c>
      <c r="E95" s="9" t="s">
        <v>218</v>
      </c>
      <c r="F95" s="9" t="s">
        <v>19</v>
      </c>
      <c r="G95" s="9" t="str">
        <f>_xlfn.DISPIMG("ID_A067DD801624433A9E8E7AFD65060064",1)</f>
        <v>=DISPIMG("ID_A067DD801624433A9E8E7AFD65060064",1)</v>
      </c>
      <c r="H95" s="9" t="str">
        <f>_xlfn.DISPIMG("ID_210D3B9069EA4970AACCE2EC41A0ADC6",1)</f>
        <v>=DISPIMG("ID_210D3B9069EA4970AACCE2EC41A0ADC6",1)</v>
      </c>
      <c r="I95" s="18" t="s">
        <v>219</v>
      </c>
      <c r="J95" s="9" t="s">
        <v>21</v>
      </c>
      <c r="K95" s="9">
        <v>35</v>
      </c>
      <c r="L95" s="19">
        <v>378</v>
      </c>
      <c r="M95" s="20"/>
      <c r="N95" s="20">
        <f t="shared" si="2"/>
        <v>0</v>
      </c>
    </row>
    <row r="96" s="2" customFormat="1" ht="93" customHeight="1" spans="1:14">
      <c r="A96" s="9">
        <v>93</v>
      </c>
      <c r="B96" s="9" t="s">
        <v>220</v>
      </c>
      <c r="C96" s="9" t="s">
        <v>16</v>
      </c>
      <c r="D96" s="9" t="s">
        <v>221</v>
      </c>
      <c r="E96" s="25" t="s">
        <v>222</v>
      </c>
      <c r="F96" s="9" t="s">
        <v>19</v>
      </c>
      <c r="G96" s="26" t="str">
        <f>_xlfn.DISPIMG("ID_FE674D0F786D4B85A36C6BBE6298D206",1)</f>
        <v>=DISPIMG("ID_FE674D0F786D4B85A36C6BBE6298D206",1)</v>
      </c>
      <c r="H96" s="26" t="str">
        <f>_xlfn.DISPIMG("ID_F290827495C64B228FAF0FE548ED9A7D",1)</f>
        <v>=DISPIMG("ID_F290827495C64B228FAF0FE548ED9A7D",1)</v>
      </c>
      <c r="I96" s="18" t="s">
        <v>223</v>
      </c>
      <c r="J96" s="9" t="s">
        <v>21</v>
      </c>
      <c r="K96" s="9">
        <v>35</v>
      </c>
      <c r="L96" s="19">
        <v>420</v>
      </c>
      <c r="M96" s="20"/>
      <c r="N96" s="20">
        <f t="shared" si="2"/>
        <v>0</v>
      </c>
    </row>
    <row r="97" s="2" customFormat="1" ht="93" customHeight="1" spans="1:14">
      <c r="A97" s="9">
        <v>94</v>
      </c>
      <c r="B97" s="9" t="s">
        <v>220</v>
      </c>
      <c r="C97" s="9" t="s">
        <v>16</v>
      </c>
      <c r="D97" s="9" t="s">
        <v>224</v>
      </c>
      <c r="E97" s="25" t="s">
        <v>225</v>
      </c>
      <c r="F97" s="9" t="s">
        <v>19</v>
      </c>
      <c r="G97" s="26" t="str">
        <f>_xlfn.DISPIMG("ID_DC8AF27D9F684DF784200F5ED60A95CB",1)</f>
        <v>=DISPIMG("ID_DC8AF27D9F684DF784200F5ED60A95CB",1)</v>
      </c>
      <c r="H97" s="26" t="str">
        <f>_xlfn.DISPIMG("ID_E3B74ABE2A054A44917EBA361BFC1819",1)</f>
        <v>=DISPIMG("ID_E3B74ABE2A054A44917EBA361BFC1819",1)</v>
      </c>
      <c r="I97" s="18" t="s">
        <v>223</v>
      </c>
      <c r="J97" s="9" t="s">
        <v>21</v>
      </c>
      <c r="K97" s="9">
        <v>35</v>
      </c>
      <c r="L97" s="19">
        <v>185</v>
      </c>
      <c r="M97" s="20"/>
      <c r="N97" s="20">
        <f t="shared" si="2"/>
        <v>0</v>
      </c>
    </row>
    <row r="98" s="2" customFormat="1" ht="93" customHeight="1" spans="1:14">
      <c r="A98" s="9">
        <v>95</v>
      </c>
      <c r="B98" s="9" t="s">
        <v>220</v>
      </c>
      <c r="C98" s="9" t="s">
        <v>16</v>
      </c>
      <c r="D98" s="9" t="s">
        <v>224</v>
      </c>
      <c r="E98" s="25" t="s">
        <v>226</v>
      </c>
      <c r="F98" s="9" t="s">
        <v>19</v>
      </c>
      <c r="G98" s="26" t="str">
        <f>_xlfn.DISPIMG("ID_2E19B9C231B14DC19BFD4EAAB35E99C4",1)</f>
        <v>=DISPIMG("ID_2E19B9C231B14DC19BFD4EAAB35E99C4",1)</v>
      </c>
      <c r="H98" s="26" t="str">
        <f>_xlfn.DISPIMG("ID_2F2F4F3524F9493AAD544EA2956C139D",1)</f>
        <v>=DISPIMG("ID_2F2F4F3524F9493AAD544EA2956C139D",1)</v>
      </c>
      <c r="I98" s="18" t="s">
        <v>223</v>
      </c>
      <c r="J98" s="9" t="s">
        <v>21</v>
      </c>
      <c r="K98" s="9">
        <v>35</v>
      </c>
      <c r="L98" s="19">
        <v>105</v>
      </c>
      <c r="M98" s="20"/>
      <c r="N98" s="20">
        <f t="shared" si="2"/>
        <v>0</v>
      </c>
    </row>
    <row r="99" s="2" customFormat="1" ht="124" customHeight="1" spans="1:14">
      <c r="A99" s="9">
        <v>96</v>
      </c>
      <c r="B99" s="9" t="s">
        <v>227</v>
      </c>
      <c r="C99" s="9" t="s">
        <v>16</v>
      </c>
      <c r="D99" s="9" t="s">
        <v>227</v>
      </c>
      <c r="E99" s="9" t="s">
        <v>228</v>
      </c>
      <c r="F99" s="9" t="s">
        <v>19</v>
      </c>
      <c r="G99" s="9" t="str">
        <f>_xlfn.DISPIMG("ID_F13D88E672134714843EAF8C12A4C7BA",1)</f>
        <v>=DISPIMG("ID_F13D88E672134714843EAF8C12A4C7BA",1)</v>
      </c>
      <c r="H99" s="9" t="str">
        <f>_xlfn.DISPIMG("ID_1563E6E299414EC09AE4A255844B570B",1)</f>
        <v>=DISPIMG("ID_1563E6E299414EC09AE4A255844B570B",1)</v>
      </c>
      <c r="I99" s="18"/>
      <c r="J99" s="9" t="s">
        <v>21</v>
      </c>
      <c r="K99" s="9">
        <v>35</v>
      </c>
      <c r="L99" s="19">
        <v>3750</v>
      </c>
      <c r="M99" s="20"/>
      <c r="N99" s="20">
        <f t="shared" si="2"/>
        <v>0</v>
      </c>
    </row>
    <row r="100" s="2" customFormat="1" ht="124" customHeight="1" spans="1:14">
      <c r="A100" s="9">
        <v>97</v>
      </c>
      <c r="B100" s="9" t="s">
        <v>227</v>
      </c>
      <c r="C100" s="9" t="s">
        <v>16</v>
      </c>
      <c r="D100" s="9" t="s">
        <v>227</v>
      </c>
      <c r="E100" s="9" t="s">
        <v>229</v>
      </c>
      <c r="F100" s="9" t="s">
        <v>19</v>
      </c>
      <c r="G100" s="9" t="str">
        <f>_xlfn.DISPIMG("ID_8817EAB2CB154268B6FF54885AC273C8",1)</f>
        <v>=DISPIMG("ID_8817EAB2CB154268B6FF54885AC273C8",1)</v>
      </c>
      <c r="H100" s="9" t="str">
        <f>_xlfn.DISPIMG("ID_E6F0681607174285AA97EC31709A6BDC",1)</f>
        <v>=DISPIMG("ID_E6F0681607174285AA97EC31709A6BDC",1)</v>
      </c>
      <c r="I100" s="18"/>
      <c r="J100" s="9" t="s">
        <v>21</v>
      </c>
      <c r="K100" s="9">
        <v>35</v>
      </c>
      <c r="L100" s="19">
        <v>4500</v>
      </c>
      <c r="M100" s="20"/>
      <c r="N100" s="20">
        <f t="shared" si="2"/>
        <v>0</v>
      </c>
    </row>
    <row r="101" s="2" customFormat="1" ht="101" customHeight="1" spans="1:14">
      <c r="A101" s="9">
        <v>98</v>
      </c>
      <c r="B101" s="9" t="s">
        <v>230</v>
      </c>
      <c r="C101" s="9" t="s">
        <v>16</v>
      </c>
      <c r="D101" s="9" t="s">
        <v>231</v>
      </c>
      <c r="E101" s="9" t="s">
        <v>232</v>
      </c>
      <c r="F101" s="9" t="s">
        <v>19</v>
      </c>
      <c r="G101" s="9" t="str">
        <f>_xlfn.DISPIMG("ID_D7CEA6B29E2B44AB82D45A7F149E7215",1)</f>
        <v>=DISPIMG("ID_D7CEA6B29E2B44AB82D45A7F149E7215",1)</v>
      </c>
      <c r="H101" s="9" t="str">
        <f>_xlfn.DISPIMG("ID_51A516E9B3594139B638E751408EDA71",1)</f>
        <v>=DISPIMG("ID_51A516E9B3594139B638E751408EDA71",1)</v>
      </c>
      <c r="I101" s="18"/>
      <c r="J101" s="9" t="s">
        <v>21</v>
      </c>
      <c r="K101" s="9">
        <v>35</v>
      </c>
      <c r="L101" s="19">
        <v>40</v>
      </c>
      <c r="M101" s="20"/>
      <c r="N101" s="20">
        <f>K101*M101</f>
        <v>0</v>
      </c>
    </row>
    <row r="102" s="2" customFormat="1" ht="86" customHeight="1" spans="1:14">
      <c r="A102" s="9">
        <v>99</v>
      </c>
      <c r="B102" s="9" t="s">
        <v>230</v>
      </c>
      <c r="C102" s="9" t="s">
        <v>16</v>
      </c>
      <c r="D102" s="9" t="s">
        <v>233</v>
      </c>
      <c r="E102" s="9" t="s">
        <v>234</v>
      </c>
      <c r="F102" s="9" t="s">
        <v>19</v>
      </c>
      <c r="G102" s="9" t="str">
        <f>_xlfn.DISPIMG("ID_CD85B3BDF1FB43B38E6FF1C70CD0488C",1)</f>
        <v>=DISPIMG("ID_CD85B3BDF1FB43B38E6FF1C70CD0488C",1)</v>
      </c>
      <c r="H102" s="9" t="str">
        <f>_xlfn.DISPIMG("ID_641AA325876C4796A1C187CA97F62A40",1)</f>
        <v>=DISPIMG("ID_641AA325876C4796A1C187CA97F62A40",1)</v>
      </c>
      <c r="I102" s="18"/>
      <c r="J102" s="9" t="s">
        <v>21</v>
      </c>
      <c r="K102" s="9">
        <v>35</v>
      </c>
      <c r="L102" s="19">
        <v>105</v>
      </c>
      <c r="M102" s="20"/>
      <c r="N102" s="20">
        <f>K102*M102</f>
        <v>0</v>
      </c>
    </row>
    <row r="103" s="2" customFormat="1" ht="90" customHeight="1" spans="1:14">
      <c r="A103" s="9">
        <v>100</v>
      </c>
      <c r="B103" s="9" t="s">
        <v>230</v>
      </c>
      <c r="C103" s="9" t="s">
        <v>16</v>
      </c>
      <c r="D103" s="9" t="s">
        <v>235</v>
      </c>
      <c r="E103" s="9" t="s">
        <v>236</v>
      </c>
      <c r="F103" s="9" t="s">
        <v>19</v>
      </c>
      <c r="G103" s="9" t="str">
        <f>_xlfn.DISPIMG("ID_92A962C9737A40ABB827E532DCDDE8F4",1)</f>
        <v>=DISPIMG("ID_92A962C9737A40ABB827E532DCDDE8F4",1)</v>
      </c>
      <c r="H103" s="9" t="str">
        <f>_xlfn.DISPIMG("ID_C992AF1D029F4A78A4AC123C4D697E19",1)</f>
        <v>=DISPIMG("ID_C992AF1D029F4A78A4AC123C4D697E19",1)</v>
      </c>
      <c r="I103" s="18" t="s">
        <v>237</v>
      </c>
      <c r="J103" s="9" t="s">
        <v>21</v>
      </c>
      <c r="K103" s="9">
        <v>35</v>
      </c>
      <c r="L103" s="19">
        <v>135</v>
      </c>
      <c r="M103" s="20"/>
      <c r="N103" s="20">
        <f>K103*M103</f>
        <v>0</v>
      </c>
    </row>
    <row r="104" s="2" customFormat="1" ht="81" customHeight="1" spans="1:14">
      <c r="A104" s="9">
        <v>101</v>
      </c>
      <c r="B104" s="9" t="s">
        <v>230</v>
      </c>
      <c r="C104" s="9" t="s">
        <v>16</v>
      </c>
      <c r="D104" s="9" t="s">
        <v>238</v>
      </c>
      <c r="E104" s="9" t="s">
        <v>239</v>
      </c>
      <c r="F104" s="9" t="s">
        <v>19</v>
      </c>
      <c r="G104" s="9" t="str">
        <f>_xlfn.DISPIMG("ID_F6ACFBDA9C51457AB3C8BB3EF2959C2E",1)</f>
        <v>=DISPIMG("ID_F6ACFBDA9C51457AB3C8BB3EF2959C2E",1)</v>
      </c>
      <c r="H104" s="9" t="str">
        <f>_xlfn.DISPIMG("ID_1CC8540C474646AA96F7D3074812C034",1)</f>
        <v>=DISPIMG("ID_1CC8540C474646AA96F7D3074812C034",1)</v>
      </c>
      <c r="I104" s="18"/>
      <c r="J104" s="9" t="s">
        <v>21</v>
      </c>
      <c r="K104" s="9">
        <v>35</v>
      </c>
      <c r="L104" s="19">
        <v>280</v>
      </c>
      <c r="M104" s="20"/>
      <c r="N104" s="20">
        <f>K104*M104</f>
        <v>0</v>
      </c>
    </row>
    <row r="105" s="2" customFormat="1" ht="81" customHeight="1" spans="1:14">
      <c r="A105" s="9">
        <v>102</v>
      </c>
      <c r="B105" s="9" t="s">
        <v>230</v>
      </c>
      <c r="C105" s="9" t="s">
        <v>16</v>
      </c>
      <c r="D105" s="9" t="s">
        <v>240</v>
      </c>
      <c r="E105" s="9" t="s">
        <v>241</v>
      </c>
      <c r="F105" s="9" t="s">
        <v>19</v>
      </c>
      <c r="G105" s="9" t="str">
        <f>_xlfn.DISPIMG("ID_8B375C269D974A948A9125BB42EB2707",1)</f>
        <v>=DISPIMG("ID_8B375C269D974A948A9125BB42EB2707",1)</v>
      </c>
      <c r="H105" s="9" t="str">
        <f>_xlfn.DISPIMG("ID_687FC52BB92E4D4C936884D38789960C",1)</f>
        <v>=DISPIMG("ID_687FC52BB92E4D4C936884D38789960C",1)</v>
      </c>
      <c r="I105" s="18"/>
      <c r="J105" s="9" t="s">
        <v>21</v>
      </c>
      <c r="K105" s="9">
        <v>35</v>
      </c>
      <c r="L105" s="19">
        <v>98</v>
      </c>
      <c r="M105" s="20"/>
      <c r="N105" s="20">
        <f>K105*M105</f>
        <v>0</v>
      </c>
    </row>
    <row r="106" s="2" customFormat="1" ht="81" customHeight="1" spans="1:14">
      <c r="A106" s="9">
        <v>103</v>
      </c>
      <c r="B106" s="9" t="s">
        <v>242</v>
      </c>
      <c r="C106" s="9" t="s">
        <v>16</v>
      </c>
      <c r="D106" s="9" t="s">
        <v>243</v>
      </c>
      <c r="E106" s="9" t="s">
        <v>244</v>
      </c>
      <c r="F106" s="9" t="s">
        <v>19</v>
      </c>
      <c r="G106" s="9" t="str">
        <f>_xlfn.DISPIMG("ID_D90B12BC2AC740F9A617C6DAF3D9AE49",1)</f>
        <v>=DISPIMG("ID_D90B12BC2AC740F9A617C6DAF3D9AE49",1)</v>
      </c>
      <c r="H106" s="9" t="str">
        <f>_xlfn.DISPIMG("ID_46759C499A5A42F98353FC191015E15E",1)</f>
        <v>=DISPIMG("ID_46759C499A5A42F98353FC191015E15E",1)</v>
      </c>
      <c r="I106" s="18" t="s">
        <v>245</v>
      </c>
      <c r="J106" s="9" t="s">
        <v>21</v>
      </c>
      <c r="K106" s="9">
        <v>35</v>
      </c>
      <c r="L106" s="19">
        <v>2990</v>
      </c>
      <c r="M106" s="20"/>
      <c r="N106" s="20">
        <f>K106*M106</f>
        <v>0</v>
      </c>
    </row>
    <row r="107" s="2" customFormat="1" ht="81" customHeight="1" spans="1:14">
      <c r="A107" s="9">
        <v>104</v>
      </c>
      <c r="B107" s="9" t="s">
        <v>242</v>
      </c>
      <c r="C107" s="9" t="s">
        <v>16</v>
      </c>
      <c r="D107" s="9" t="s">
        <v>246</v>
      </c>
      <c r="E107" s="9" t="s">
        <v>247</v>
      </c>
      <c r="F107" s="9" t="s">
        <v>19</v>
      </c>
      <c r="G107" s="9" t="str">
        <f>_xlfn.DISPIMG("ID_A30AAC67A7A24557810F806E61EC05C3",1)</f>
        <v>=DISPIMG("ID_A30AAC67A7A24557810F806E61EC05C3",1)</v>
      </c>
      <c r="H107" s="9" t="str">
        <f>_xlfn.DISPIMG("ID_18839745CD3F4C65A932B1E9E81C0AA0",1)</f>
        <v>=DISPIMG("ID_18839745CD3F4C65A932B1E9E81C0AA0",1)</v>
      </c>
      <c r="I107" s="18" t="s">
        <v>248</v>
      </c>
      <c r="J107" s="9" t="s">
        <v>21</v>
      </c>
      <c r="K107" s="9">
        <v>35</v>
      </c>
      <c r="L107" s="19">
        <v>820</v>
      </c>
      <c r="M107" s="20"/>
      <c r="N107" s="20">
        <f>K107*M107</f>
        <v>0</v>
      </c>
    </row>
    <row r="108" ht="55" customHeight="1" spans="1:14">
      <c r="A108" s="27">
        <v>105</v>
      </c>
      <c r="B108" s="27" t="s">
        <v>249</v>
      </c>
      <c r="C108" s="27"/>
      <c r="D108" s="27"/>
      <c r="E108" s="27"/>
      <c r="F108" s="27"/>
      <c r="G108" s="27"/>
      <c r="H108" s="27"/>
      <c r="I108" s="27"/>
      <c r="J108" s="27"/>
      <c r="K108" s="27"/>
      <c r="L108" s="28"/>
      <c r="M108" s="29"/>
      <c r="N108" s="30">
        <f>SUM(N4:N107)</f>
        <v>0</v>
      </c>
    </row>
  </sheetData>
  <sheetProtection algorithmName="SHA-512" hashValue="OyYqv+ItbrZWa42OdaomdBQQZup4Js+UCll0cJb9mqOuFaa3UpOyQ4qXPvQ1v/SDJriTxM2NWWL+Hvi+p4umUw==" saltValue="CNjMcUIvv6ZwI4x702wUGg==" spinCount="100000" sheet="1" objects="1"/>
  <autoFilter xmlns:etc="http://www.wps.cn/officeDocument/2017/etCustomData" ref="A2:N108" etc:filterBottomFollowUsedRange="0">
    <extLst/>
  </autoFilter>
  <mergeCells count="16">
    <mergeCell ref="A1:N1"/>
    <mergeCell ref="B108:M108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708333333333333" right="0.708333333333333" top="0.393055555555556" bottom="0.393055555555556" header="0.314583333333333" footer="0.314583333333333"/>
  <pageSetup paperSize="9" scale="64" fitToHeight="0" orientation="landscape" horizontalDpi="600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，遇见</cp:lastModifiedBy>
  <dcterms:created xsi:type="dcterms:W3CDTF">2006-09-16T00:00:00Z</dcterms:created>
  <dcterms:modified xsi:type="dcterms:W3CDTF">2025-09-25T13:24:22Z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1EA941B014494068B831F8D0DCC6D20A_13</vt:lpwstr>
  </property>
  <property fmtid="{D5CDD505-2E9C-101B-9397-08002B2CF9AE}" pid="3" name="KSOProductBuildVer">
    <vt:lpwstr>2052-12.1.0.22529</vt:lpwstr>
  </property>
</Properties>
</file>